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48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<sst xmlns="http://schemas.openxmlformats.org/spreadsheetml/2006/main" count="673" uniqueCount="458">
  <si>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</si>
  <si>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</si>
  <si>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</si>
  <si>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</si>
  <si>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</si>
  <si>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</si>
  <si>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</si>
  <si>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</si>
  <si>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</si>
  <si>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</si>
  <si>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</si>
  <si>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</si>
  <si>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</si>
  <si>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</si>
  <si>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</si>
  <si>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</si>
  <si>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</si>
  <si>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</si>
  <si>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</si>
  <si>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</si>
  <si>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</si>
  <si>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</si>
  <si>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</si>
  <si>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</si>
  <si>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</si>
  <si>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</si>
  <si>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</si>
  <si>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</si>
  <si>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</si>
  <si>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</si>
  <si>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</si>
  <si>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</si>
  <si>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</si>
  <si>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</si>
  <si>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</si>
  <si>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</si>
  <si>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</si>
  <si>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</si>
  <si>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</si>
  <si>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</si>
  <si>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</si>
  <si>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</si>
  <si>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</si>
  <si>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</si>
  <si>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</si>
  <si>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</si>
  <si>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</si>
  <si>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</si>
  <si>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</si>
  <si>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</si>
  <si>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</si>
  <si>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</si>
  <si>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</si>
  <si>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</si>
  <si>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</si>
  <si>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</si>
  <si>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</si>
  <si>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</si>
  <si>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</si>
  <si>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</si>
  <si>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</si>
  <si>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</si>
  <si>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</si>
  <si>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</si>
  <si>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</si>
  <si>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</si>
  <si>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</si>
  <si>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</si>
  <si>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</si>
  <si>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</si>
  <si>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</si>
  <si>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</si>
  <si>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</si>
  <si>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</si>
  <si>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</si>
  <si>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</si>
  <si>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</si>
  <si>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</si>
  <si>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</si>
  <si>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</si>
  <si>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</si>
  <si>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</si>
  <si>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</si>
  <si>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</si>
  <si>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</si>
  <si>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</si>
  <si>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</si>
  <si>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</si>
  <si>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</si>
  <si>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</si>
  <si>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</si>
  <si>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</si>
  <si>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</si>
  <si>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</si>
  <si>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</si>
  <si>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</si>
  <si>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</si>
  <si>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</si>
  <si>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</si>
  <si>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</si>
  <si>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</si>
  <si>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</si>
  <si>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</si>
  <si>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</si>
  <si>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</si>
  <si>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</si>
  <si>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</si>
  <si>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</si>
  <si>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</si>
  <si>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</si>
  <si>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</si>
  <si>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</si>
  <si>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</si>
  <si>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</si>
  <si>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</si>
  <si>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</si>
  <si>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</si>
  <si>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</si>
  <si>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</si>
  <si>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</si>
  <si>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</si>
  <si>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</si>
  <si>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</si>
  <si>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</si>
  <si>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</si>
  <si>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</si>
  <si>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</si>
  <si>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</si>
  <si>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</si>
  <si>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</si>
  <si>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</si>
  <si>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</si>
  <si>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</si>
  <si>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</si>
  <si>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</si>
  <si>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</si>
  <si>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</si>
  <si>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</si>
  <si>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</si>
  <si>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</si>
  <si>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</si>
  <si>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</si>
  <si>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</si>
  <si>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</si>
  <si>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</si>
  <si>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</si>
  <si>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</si>
  <si>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</si>
  <si>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</si>
  <si>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</si>
  <si>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</si>
  <si>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</si>
  <si>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</si>
  <si>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</si>
  <si>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</si>
  <si>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</si>
  <si>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</si>
  <si>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</si>
  <si>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</si>
  <si>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</si>
  <si>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</si>
  <si>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</si>
  <si>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</si>
  <si>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</si>
  <si>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</si>
  <si>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</si>
  <si>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</si>
  <si>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</si>
  <si>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</si>
  <si>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</si>
  <si>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</si>
  <si>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</si>
  <si>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</si>
  <si>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</si>
  <si>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</si>
  <si>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</si>
  <si>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</si>
  <si>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</si>
  <si>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</si>
  <si>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</si>
  <si>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</si>
  <si>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</si>
  <si>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</si>
  <si>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</si>
  <si>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</si>
  <si>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</si>
  <si>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</si>
  <si>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</si>
  <si>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</si>
  <si>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</si>
  <si>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</si>
  <si>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</si>
  <si>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</si>
  <si>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</si>
  <si>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</si>
  <si>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</si>
  <si>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</si>
  <si>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</si>
  <si>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</si>
  <si>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</si>
  <si>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</si>
  <si>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</si>
  <si>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</si>
  <si>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</si>
  <si>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</si>
  <si>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</si>
  <si>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</si>
  <si>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</si>
  <si>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</si>
  <si>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</si>
  <si>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</si>
  <si>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</si>
  <si>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</si>
  <si>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</si>
  <si>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</si>
  <si>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</si>
  <si>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</si>
  <si>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</si>
  <si>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</si>
  <si>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</si>
  <si>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</si>
  <si>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</si>
  <si>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</si>
  <si>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</si>
  <si>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</si>
  <si>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</si>
  <si>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</si>
  <si>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</si>
  <si>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</si>
  <si>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</si>
  <si>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</si>
  <si>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</si>
  <si>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</si>
  <si>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</si>
  <si>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</si>
  <si>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</si>
  <si>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</si>
  <si>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</si>
  <si>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</si>
  <si>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</si>
  <si>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</si>
  <si>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</si>
  <si>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</si>
  <si>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</si>
  <si>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</si>
  <si>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</si>
  <si>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</si>
  <si>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</si>
  <si>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</si>
  <si>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</si>
  <si>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</si>
  <si>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</si>
  <si>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</si>
  <si>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</si>
  <si>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</si>
  <si>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</si>
  <si>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</si>
  <si>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</si>
  <si>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</si>
  <si>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</si>
  <si>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</si>
  <si>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</si>
  <si>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</si>
  <si>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</si>
  <si>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</si>
  <si>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</si>
  <si>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</si>
  <si>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</si>
  <si>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</si>
  <si>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</si>
  <si>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</si>
  <si>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</si>
  <si>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</si>
  <si>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</si>
  <si>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</si>
  <si>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</si>
  <si>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</si>
  <si>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</si>
  <si>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</si>
  <si>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</si>
  <si>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</si>
  <si>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</si>
  <si>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</si>
  <si>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</si>
  <si>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</si>
  <si>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</si>
  <si>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</si>
  <si>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</si>
  <si>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</si>
  <si>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</si>
  <si>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</si>
  <si>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</si>
  <si>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</si>
  <si>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</si>
  <si>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</si>
  <si>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</si>
  <si>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</si>
  <si>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</si>
  <si>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</si>
  <si>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</si>
  <si>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</si>
  <si>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</si>
  <si>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</si>
  <si>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</si>
  <si>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</si>
  <si>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</si>
  <si>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</si>
  <si>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</si>
  <si>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</si>
  <si>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</si>
  <si>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</si>
  <si>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</si>
  <si>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</si>
  <si>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</si>
  <si>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</si>
  <si>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</si>
  <si>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</si>
  <si>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</si>
  <si>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</si>
  <si>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</si>
  <si>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</si>
  <si>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</si>
  <si>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</si>
  <si>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</si>
  <si>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</si>
  <si>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</si>
  <si>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</si>
  <si>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</si>
  <si>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</si>
  <si>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</si>
  <si>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</si>
  <si>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</si>
  <si>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</si>
  <si>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</si>
  <si>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</si>
  <si>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</si>
  <si>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</si>
  <si>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</si>
  <si>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</si>
  <si>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</si>
  <si>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</si>
  <si>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</si>
  <si>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</si>
  <si>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</si>
  <si>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</si>
  <si>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</si>
  <si>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</si>
  <si>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</si>
  <si>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</si>
  <si>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</si>
  <si>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</si>
  <si>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</si>
  <si>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</si>
  <si>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</si>
  <si>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</si>
  <si>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</si>
  <si>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</si>
  <si>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</si>
  <si>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</si>
  <si>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</si>
  <si>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</si>
  <si>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</si>
  <si>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</si>
  <si>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</si>
  <si>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</si>
  <si>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</si>
  <si>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</si>
  <si>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</si>
  <si>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</si>
  <si>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</si>
  <si>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</si>
  <si>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</si>
  <si>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</si>
  <si>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</si>
  <si>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</si>
  <si>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</si>
  <si>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</si>
  <si>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</si>
  <si>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</si>
  <si>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</si>
  <si>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</si>
  <si>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</si>
  <si>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</si>
  <si>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</si>
  <si>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</si>
  <si>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</si>
  <si>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</si>
  <si>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</si>
  <si>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</si>
  <si>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</si>
  <si>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</si>
  <si>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</si>
  <si>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</si>
  <si>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</si>
  <si>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</si>
  <si>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</si>
  <si>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</si>
  <si>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</si>
  <si>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</si>
  <si>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</si>
  <si>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</si>
  <si>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</si>
  <si>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</si>
  <si>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</si>
  <si>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</si>
  <si>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</si>
  <si>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</si>
  <si>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</si>
  <si>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</si>
  <si>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</si>
  <si>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</si>
  <si>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</si>
  <si>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</si>
  <si>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</si>
  <si>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</si>
  <si>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</si>
  <si>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</si>
  <si>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</si>
  <si>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</si>
  <si>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</si>
  <si>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</si>
  <si>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</si>
  <si>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</si>
  <si>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</si>
  <si>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</si>
  <si>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</si>
  <si>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</si>
  <si>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</si>
  <si>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</si>
  <si>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</si>
  <si>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</si>
  <si>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</si>
  <si>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</si>
  <si>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</si>
  <si>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</si>
  <si>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</si>
  <si>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</si>
  <si>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</si>
  <si>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</si>
  <si>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</si>
  <si>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</si>
  <si>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</si>
  <si>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</si>
  <si>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</si>
  <si>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</si>
  <si>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</si>
  <si>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</si>
  <si>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</si>
  <si>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</si>
  <si>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</si>
  <si>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</si>
  <si>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</si>
  <si>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</si>
  <si>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</si>
  <si>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</si>
  <si>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</si>
  <si>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</si>
  <si>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ПРОФ. ХРИСТО ХИНКОВ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</si>
</sst>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24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24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24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60" applyNumberFormat="1" applyFont="1" applyFill="1" applyBorder="1" applyAlignment="1" applyProtection="1">
      <alignment/>
      <protection locked="0"/>
    </xf>
    <xf numFmtId="186" fontId="4" fillId="33" borderId="74" xfId="60" applyNumberFormat="1" applyFont="1" applyFill="1" applyBorder="1" applyAlignment="1" applyProtection="1">
      <alignment/>
      <protection locked="0"/>
    </xf>
    <xf numFmtId="186" fontId="4" fillId="33" borderId="76" xfId="60" applyNumberFormat="1" applyFont="1" applyFill="1" applyBorder="1" applyAlignment="1" applyProtection="1">
      <alignment/>
      <protection locked="0"/>
    </xf>
    <xf numFmtId="21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8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9" fillId="32" borderId="0" xfId="0" applyNumberFormat="1" applyFont="1" applyFill="1" applyAlignment="1" applyProtection="1">
      <alignment horizontal="center"/>
      <protection/>
    </xf>
    <xf numFmtId="209" fontId="189" fillId="54" borderId="0" xfId="0" applyNumberFormat="1" applyFont="1" applyFill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 locked="0"/>
    </xf>
    <xf numFmtId="188" fontId="190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1" fillId="33" borderId="61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2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3" fillId="36" borderId="43" xfId="53" applyFont="1" applyFill="1" applyBorder="1" applyAlignment="1" applyProtection="1">
      <alignment horizontal="center" vertical="center"/>
      <protection locked="0"/>
    </xf>
    <xf numFmtId="0" fontId="193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4" fillId="33" borderId="43" xfId="53" applyNumberFormat="1" applyFont="1" applyFill="1" applyBorder="1" applyAlignment="1" applyProtection="1">
      <alignment horizontal="center" vertical="center"/>
      <protection locked="0"/>
    </xf>
    <xf numFmtId="38" fontId="194" fillId="33" borderId="29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6" fillId="32" borderId="45" xfId="57" applyFont="1" applyFill="1" applyBorder="1" applyAlignment="1" applyProtection="1" quotePrefix="1">
      <alignment horizontal="center"/>
      <protection/>
    </xf>
    <xf numFmtId="0" fontId="197" fillId="38" borderId="26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208" fontId="198" fillId="48" borderId="43" xfId="65" applyNumberFormat="1" applyFont="1" applyFill="1" applyBorder="1" applyAlignment="1" applyProtection="1">
      <alignment horizontal="left"/>
      <protection/>
    </xf>
    <xf numFmtId="208" fontId="198" fillId="48" borderId="29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9" fillId="33" borderId="47" xfId="65" applyNumberFormat="1" applyFont="1" applyFill="1" applyBorder="1" applyAlignment="1" applyProtection="1">
      <alignment horizontal="center"/>
      <protection/>
    </xf>
    <xf numFmtId="38" fontId="199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9" fillId="33" borderId="49" xfId="65" applyNumberFormat="1" applyFont="1" applyFill="1" applyBorder="1" applyAlignment="1" applyProtection="1">
      <alignment horizontal="center"/>
      <protection/>
    </xf>
    <xf numFmtId="38" fontId="199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2" fillId="33" borderId="0" xfId="60" applyNumberFormat="1" applyFont="1" applyFill="1" applyBorder="1" applyAlignment="1" applyProtection="1">
      <alignment horizontal="center"/>
      <protection/>
    </xf>
    <xf numFmtId="0" fontId="196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1" fillId="33" borderId="116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/>
    </xf>
    <xf numFmtId="188" fontId="190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01" fillId="36" borderId="43" xfId="53" applyFont="1" applyFill="1" applyBorder="1" applyAlignment="1" applyProtection="1">
      <alignment horizontal="center" vertical="center"/>
      <protection/>
    </xf>
    <xf numFmtId="0" fontId="201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7">
        <f>+'Cash-Flow-2023-Leva'!P5</f>
        <v>2023</v>
      </c>
      <c r="M2" s="657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51">
        <f>+'Cash-Flow-2023-Leva'!P5</f>
        <v>2023</v>
      </c>
      <c r="I7" s="651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3">
        <f>+'Cash-Flow-2023-Leva'!P5</f>
        <v>2023</v>
      </c>
      <c r="G30" s="653"/>
      <c r="H30" s="653"/>
      <c r="I30" s="653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9">
        <f>+H7</f>
        <v>2023</v>
      </c>
      <c r="H37" s="649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9">
        <f>+F30-1</f>
        <v>2022</v>
      </c>
      <c r="M40" s="659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8">
        <f>+H7-1</f>
        <v>2022</v>
      </c>
      <c r="H42" s="658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6"/>
      <c r="L55" s="656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4">
        <f>+H7</f>
        <v>2023</v>
      </c>
      <c r="L56" s="664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9">
        <f>+H7</f>
        <v>2023</v>
      </c>
      <c r="J57" s="649"/>
      <c r="K57" s="611" t="s">
        <v>388</v>
      </c>
      <c r="L57" s="666">
        <f>+H7</f>
        <v>2023</v>
      </c>
      <c r="M57" s="666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2">
        <f>+H7</f>
        <v>2023</v>
      </c>
      <c r="F59" s="662"/>
      <c r="G59" s="662"/>
      <c r="H59" s="662"/>
      <c r="I59" s="662"/>
      <c r="J59" s="662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3">
        <f>+H7</f>
        <v>2023</v>
      </c>
      <c r="F60" s="663"/>
      <c r="G60" s="663"/>
      <c r="H60" s="663"/>
      <c r="I60" s="663"/>
      <c r="J60" s="663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8">
        <f>+H7</f>
        <v>2023</v>
      </c>
      <c r="F61" s="668"/>
      <c r="G61" s="668"/>
      <c r="H61" s="668"/>
      <c r="I61" s="668"/>
      <c r="J61" s="668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7">
        <f>+H7</f>
        <v>2023</v>
      </c>
      <c r="J75" s="647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6"/>
      <c r="L80" s="656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4">
        <f>+H7</f>
        <v>2023</v>
      </c>
      <c r="L81" s="664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9">
        <f>+H7</f>
        <v>2023</v>
      </c>
      <c r="J82" s="649"/>
      <c r="K82" s="611" t="s">
        <v>405</v>
      </c>
      <c r="L82" s="666">
        <f>+H7</f>
        <v>2023</v>
      </c>
      <c r="M82" s="666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6">
        <f>+H7</f>
        <v>2023</v>
      </c>
      <c r="F84" s="676"/>
      <c r="G84" s="676"/>
      <c r="H84" s="676"/>
      <c r="I84" s="676"/>
      <c r="J84" s="676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8">
        <f>+H7</f>
        <v>2023</v>
      </c>
      <c r="F85" s="678"/>
      <c r="G85" s="678"/>
      <c r="H85" s="678"/>
      <c r="I85" s="678"/>
      <c r="J85" s="678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9">
        <f>+H7</f>
        <v>2023</v>
      </c>
      <c r="F86" s="679"/>
      <c r="G86" s="679"/>
      <c r="H86" s="679"/>
      <c r="I86" s="679"/>
      <c r="J86" s="679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6"/>
      <c r="L96" s="656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9">
        <f>+H7-1</f>
        <v>2022</v>
      </c>
      <c r="L97" s="669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5">
        <f>+H7-1</f>
        <v>2022</v>
      </c>
      <c r="J98" s="665"/>
      <c r="K98" s="611" t="s">
        <v>388</v>
      </c>
      <c r="L98" s="666">
        <f>+H7</f>
        <v>2023</v>
      </c>
      <c r="M98" s="666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7">
        <f>+H7-1</f>
        <v>2022</v>
      </c>
      <c r="F100" s="667"/>
      <c r="G100" s="667"/>
      <c r="H100" s="667"/>
      <c r="I100" s="667"/>
      <c r="J100" s="667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7">
        <f>+H7-1</f>
        <v>2022</v>
      </c>
      <c r="F101" s="677"/>
      <c r="G101" s="677"/>
      <c r="H101" s="677"/>
      <c r="I101" s="677"/>
      <c r="J101" s="677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1">
        <f>+H7-1</f>
        <v>2022</v>
      </c>
      <c r="F102" s="661"/>
      <c r="G102" s="661"/>
      <c r="H102" s="661"/>
      <c r="I102" s="661"/>
      <c r="J102" s="661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7">
        <f>+H7</f>
        <v>2023</v>
      </c>
      <c r="J116" s="647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6"/>
      <c r="L121" s="656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9">
        <f>+H7-1</f>
        <v>2022</v>
      </c>
      <c r="L122" s="669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5">
        <f>+H7-1</f>
        <v>2022</v>
      </c>
      <c r="J123" s="665"/>
      <c r="K123" s="611" t="s">
        <v>405</v>
      </c>
      <c r="L123" s="666">
        <f>+H7</f>
        <v>2023</v>
      </c>
      <c r="M123" s="666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3">
        <f>+H7-1</f>
        <v>2022</v>
      </c>
      <c r="F125" s="673"/>
      <c r="G125" s="673"/>
      <c r="H125" s="673"/>
      <c r="I125" s="673"/>
      <c r="J125" s="673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71">
        <f>+H7-1</f>
        <v>2022</v>
      </c>
      <c r="F126" s="671"/>
      <c r="G126" s="671"/>
      <c r="H126" s="671"/>
      <c r="I126" s="671"/>
      <c r="J126" s="671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72">
        <f>+H7-1</f>
        <v>2022</v>
      </c>
      <c r="F127" s="672"/>
      <c r="G127" s="672"/>
      <c r="H127" s="672"/>
      <c r="I127" s="672"/>
      <c r="J127" s="672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5">
        <f>+H7</f>
        <v>2023</v>
      </c>
      <c r="K136" s="675"/>
      <c r="L136" s="675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9">
        <f>+H7</f>
        <v>2023</v>
      </c>
      <c r="I137" s="649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7">
        <f>+H7</f>
        <v>2023</v>
      </c>
      <c r="J138" s="647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8">
        <f>+H7</f>
        <v>2023</v>
      </c>
      <c r="K144" s="648"/>
      <c r="L144" s="648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9">
        <f>+H14</f>
        <v>2023</v>
      </c>
      <c r="J145" s="649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70">
        <f>+H7</f>
        <v>2023</v>
      </c>
      <c r="L160" s="670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6" t="s">
        <v>331</v>
      </c>
      <c r="G164" s="646"/>
      <c r="H164" s="646"/>
      <c r="I164" s="646"/>
      <c r="J164" s="646"/>
      <c r="K164" s="646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6" t="s">
        <v>332</v>
      </c>
      <c r="G165" s="646"/>
      <c r="H165" s="646"/>
      <c r="I165" s="646"/>
      <c r="J165" s="646"/>
      <c r="K165" s="646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4">
        <f>+'Cash-Flow-2023-Leva'!P5</f>
        <v>2023</v>
      </c>
      <c r="G167" s="654"/>
      <c r="H167" s="654"/>
      <c r="I167" s="654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5">
        <f>+'Cash-Flow-2023-Leva'!P5</f>
        <v>2023</v>
      </c>
      <c r="H168" s="655"/>
      <c r="I168" s="655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50">
        <f>+'Cash-Flow-2023-Leva'!P5</f>
        <v>2023</v>
      </c>
      <c r="G169" s="650"/>
      <c r="H169" s="650"/>
      <c r="I169" s="650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50">
        <f>+'Cash-Flow-2023-Leva'!P5</f>
        <v>2023</v>
      </c>
      <c r="F185" s="650"/>
      <c r="G185" s="650"/>
      <c r="H185" s="650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4">
        <f>+'Cash-Flow-2023-Leva'!P5</f>
        <v>2023</v>
      </c>
      <c r="L186" s="674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0">
        <f>H7</f>
        <v>2023</v>
      </c>
      <c r="E189" s="660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6" t="s">
        <v>331</v>
      </c>
      <c r="G191" s="646"/>
      <c r="H191" s="646"/>
      <c r="I191" s="646"/>
      <c r="J191" s="646"/>
      <c r="K191" s="646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5">
        <f>+L2</f>
        <v>2023</v>
      </c>
      <c r="G192" s="645"/>
      <c r="H192" s="645"/>
      <c r="I192" s="645"/>
      <c r="J192" s="645"/>
      <c r="K192" s="64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52">
        <f>+'Cash-Flow-2023-Leva'!P5</f>
        <v>2023</v>
      </c>
      <c r="I194" s="652"/>
      <c r="J194" s="652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36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136" sqref="F13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8" t="s">
        <v>455</v>
      </c>
      <c r="C1" s="769"/>
      <c r="D1" s="769"/>
      <c r="E1" s="769"/>
      <c r="F1" s="770"/>
      <c r="G1" s="433" t="s">
        <v>244</v>
      </c>
      <c r="H1" s="426"/>
      <c r="I1" s="756">
        <v>695317</v>
      </c>
      <c r="J1" s="757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688"/>
      <c r="T1" s="689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8" t="s">
        <v>240</v>
      </c>
      <c r="C2" s="749"/>
      <c r="D2" s="749"/>
      <c r="E2" s="749"/>
      <c r="F2" s="750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72" t="s">
        <v>250</v>
      </c>
      <c r="C3" s="773"/>
      <c r="D3" s="773"/>
      <c r="E3" s="773"/>
      <c r="F3" s="774"/>
      <c r="G3" s="434" t="s">
        <v>238</v>
      </c>
      <c r="H3" s="761"/>
      <c r="I3" s="762"/>
      <c r="J3" s="762"/>
      <c r="K3" s="763"/>
      <c r="L3" s="28" t="s">
        <v>246</v>
      </c>
      <c r="M3" s="758"/>
      <c r="N3" s="759"/>
      <c r="O3" s="759"/>
      <c r="P3" s="760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7">
        <f>+IF(+O174&gt;0,"НЕРАВНЕНИЕ: Касов отчет - Баланс!",0)</f>
        <v>0</v>
      </c>
      <c r="C5" s="777"/>
      <c r="D5" s="752" t="s">
        <v>243</v>
      </c>
      <c r="E5" s="752"/>
      <c r="F5" s="752"/>
      <c r="G5" s="752"/>
      <c r="H5" s="752"/>
      <c r="I5" s="752"/>
      <c r="J5" s="752"/>
      <c r="K5" s="752"/>
      <c r="L5" s="752"/>
      <c r="M5" s="20"/>
      <c r="N5" s="20"/>
      <c r="O5" s="24" t="s">
        <v>17</v>
      </c>
      <c r="P5" s="450">
        <v>2023</v>
      </c>
      <c r="Q5" s="20"/>
      <c r="R5" s="764" t="s">
        <v>180</v>
      </c>
      <c r="S5" s="764"/>
      <c r="T5" s="764"/>
      <c r="U5" s="15"/>
    </row>
    <row r="6" spans="1:28" s="3" customFormat="1" ht="17.25" customHeight="1">
      <c r="A6" s="15"/>
      <c r="B6" s="778">
        <f>+IF(B5=0,0,P5)</f>
        <v>0</v>
      </c>
      <c r="C6" s="778"/>
      <c r="D6" s="752" t="s">
        <v>242</v>
      </c>
      <c r="E6" s="752"/>
      <c r="F6" s="752"/>
      <c r="G6" s="752"/>
      <c r="H6" s="752"/>
      <c r="I6" s="752"/>
      <c r="J6" s="752"/>
      <c r="K6" s="752"/>
      <c r="L6" s="752"/>
      <c r="M6" s="21"/>
      <c r="N6" s="16"/>
      <c r="O6" s="15"/>
      <c r="P6" s="15"/>
      <c r="Q6" s="13"/>
      <c r="R6" s="751">
        <f>+P4</f>
        <v>0</v>
      </c>
      <c r="S6" s="751"/>
      <c r="T6" s="75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71" t="str">
        <f>+B1</f>
        <v>ПРБ МИНИСТЕРСТВО НА ЗДРАВЕОПАЗВАНЕТО</v>
      </c>
      <c r="E8" s="771"/>
      <c r="F8" s="771"/>
      <c r="G8" s="771"/>
      <c r="H8" s="771"/>
      <c r="I8" s="771"/>
      <c r="J8" s="771"/>
      <c r="K8" s="771"/>
      <c r="L8" s="771"/>
      <c r="M8" s="432" t="s">
        <v>247</v>
      </c>
      <c r="N8" s="16"/>
      <c r="O8" s="592" t="s">
        <v>353</v>
      </c>
      <c r="P8" s="290" t="s">
        <v>46</v>
      </c>
      <c r="Q8" s="13"/>
      <c r="R8" s="765">
        <f>+P5</f>
        <v>2023</v>
      </c>
      <c r="S8" s="766"/>
      <c r="T8" s="76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2" t="s">
        <v>0</v>
      </c>
      <c r="S10" s="743"/>
      <c r="T10" s="74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31.10.2023 г.</v>
      </c>
      <c r="G11" s="396">
        <f>+P5-1</f>
        <v>2022</v>
      </c>
      <c r="H11" s="15"/>
      <c r="I11" s="589" t="str">
        <f>+O8</f>
        <v>31.10.2023 г.</v>
      </c>
      <c r="J11" s="397">
        <f>+P5-1</f>
        <v>2022</v>
      </c>
      <c r="K11" s="16"/>
      <c r="L11" s="590" t="str">
        <f>+O8</f>
        <v>31.10.2023 г.</v>
      </c>
      <c r="M11" s="398">
        <f>+P5-1</f>
        <v>2022</v>
      </c>
      <c r="N11" s="16"/>
      <c r="O11" s="591" t="str">
        <f>+O8</f>
        <v>31.10.2023 г.</v>
      </c>
      <c r="P11" s="399">
        <f>+P5-1</f>
        <v>2022</v>
      </c>
      <c r="Q11" s="352"/>
      <c r="R11" s="745" t="s">
        <v>181</v>
      </c>
      <c r="S11" s="746"/>
      <c r="T11" s="74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0</v>
      </c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9" t="s">
        <v>149</v>
      </c>
      <c r="S15" s="700"/>
      <c r="T15" s="701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24395706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24395706</v>
      </c>
      <c r="P16" s="384">
        <f t="shared" si="0"/>
        <v>29897039</v>
      </c>
      <c r="Q16" s="31"/>
      <c r="R16" s="753" t="s">
        <v>284</v>
      </c>
      <c r="S16" s="754"/>
      <c r="T16" s="755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5" t="s">
        <v>279</v>
      </c>
      <c r="S17" s="736"/>
      <c r="T17" s="737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1216881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1216881</v>
      </c>
      <c r="P18" s="378">
        <f t="shared" si="0"/>
        <v>1619614</v>
      </c>
      <c r="Q18" s="31"/>
      <c r="R18" s="699" t="s">
        <v>150</v>
      </c>
      <c r="S18" s="700"/>
      <c r="T18" s="701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5705105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5705105</v>
      </c>
      <c r="P19" s="412">
        <f t="shared" si="0"/>
        <v>6687828</v>
      </c>
      <c r="Q19" s="31"/>
      <c r="R19" s="685" t="s">
        <v>151</v>
      </c>
      <c r="S19" s="686"/>
      <c r="T19" s="687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286535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286535</v>
      </c>
      <c r="P20" s="412">
        <f t="shared" si="0"/>
        <v>366148</v>
      </c>
      <c r="Q20" s="31"/>
      <c r="R20" s="685" t="s">
        <v>152</v>
      </c>
      <c r="S20" s="686"/>
      <c r="T20" s="687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5" t="s">
        <v>153</v>
      </c>
      <c r="S21" s="686"/>
      <c r="T21" s="687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1490070</v>
      </c>
      <c r="G22" s="231">
        <v>149406</v>
      </c>
      <c r="H22" s="15"/>
      <c r="I22" s="232"/>
      <c r="J22" s="231">
        <v>0</v>
      </c>
      <c r="K22" s="227"/>
      <c r="L22" s="232"/>
      <c r="M22" s="231">
        <v>0</v>
      </c>
      <c r="N22" s="227"/>
      <c r="O22" s="360">
        <f t="shared" si="0"/>
        <v>1490070</v>
      </c>
      <c r="P22" s="412">
        <f t="shared" si="0"/>
        <v>149406</v>
      </c>
      <c r="Q22" s="31"/>
      <c r="R22" s="685" t="s">
        <v>154</v>
      </c>
      <c r="S22" s="686"/>
      <c r="T22" s="687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5" t="s">
        <v>155</v>
      </c>
      <c r="S23" s="686"/>
      <c r="T23" s="687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53216</v>
      </c>
      <c r="G24" s="233">
        <v>56933</v>
      </c>
      <c r="H24" s="15"/>
      <c r="I24" s="234"/>
      <c r="J24" s="233">
        <v>4174</v>
      </c>
      <c r="K24" s="227"/>
      <c r="L24" s="234"/>
      <c r="M24" s="233"/>
      <c r="N24" s="227"/>
      <c r="O24" s="361">
        <f t="shared" si="0"/>
        <v>53216</v>
      </c>
      <c r="P24" s="384">
        <f t="shared" si="0"/>
        <v>61107</v>
      </c>
      <c r="Q24" s="31"/>
      <c r="R24" s="720" t="s">
        <v>280</v>
      </c>
      <c r="S24" s="721"/>
      <c r="T24" s="722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33147513</v>
      </c>
      <c r="G25" s="235">
        <f>+ROUND(+SUM(G15,G16,G18,G19,G20,G21,G22,G23,G24),0)</f>
        <v>38753503</v>
      </c>
      <c r="H25" s="15"/>
      <c r="I25" s="236">
        <f>+ROUND(+SUM(I15,I16,I18,I19,I20,I21,I22,I23,I24),0)</f>
        <v>0</v>
      </c>
      <c r="J25" s="235">
        <f>+ROUND(+SUM(J15,J16,J18,J19,J20,J21,J22,J23,J24),0)</f>
        <v>27639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33147513</v>
      </c>
      <c r="P25" s="363">
        <f>+ROUND(+SUM(P15,P16,P18,P19,P20,P21,P22,P23,P24),0)</f>
        <v>38781142</v>
      </c>
      <c r="Q25" s="31"/>
      <c r="R25" s="693" t="s">
        <v>182</v>
      </c>
      <c r="S25" s="694"/>
      <c r="T25" s="69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9" t="s">
        <v>156</v>
      </c>
      <c r="S27" s="700"/>
      <c r="T27" s="70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25165</v>
      </c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25165</v>
      </c>
      <c r="P28" s="412">
        <f t="shared" si="1"/>
        <v>88524</v>
      </c>
      <c r="Q28" s="31"/>
      <c r="R28" s="685" t="s">
        <v>157</v>
      </c>
      <c r="S28" s="686"/>
      <c r="T28" s="687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20" t="s">
        <v>158</v>
      </c>
      <c r="S29" s="721"/>
      <c r="T29" s="72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25165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25165</v>
      </c>
      <c r="P30" s="363">
        <f>+ROUND(+SUM(P27:P29),0)</f>
        <v>88524</v>
      </c>
      <c r="Q30" s="31"/>
      <c r="R30" s="693" t="s">
        <v>183</v>
      </c>
      <c r="S30" s="694"/>
      <c r="T30" s="69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-2957593</v>
      </c>
      <c r="G37" s="247">
        <v>-6807263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-2957593</v>
      </c>
      <c r="P37" s="363">
        <f t="shared" si="2"/>
        <v>-6807263</v>
      </c>
      <c r="Q37" s="31"/>
      <c r="R37" s="693" t="s">
        <v>184</v>
      </c>
      <c r="S37" s="694"/>
      <c r="T37" s="69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-2689733</v>
      </c>
      <c r="G38" s="249">
        <v>-6425293</v>
      </c>
      <c r="H38" s="15"/>
      <c r="I38" s="250"/>
      <c r="J38" s="249"/>
      <c r="K38" s="227"/>
      <c r="L38" s="250"/>
      <c r="M38" s="249"/>
      <c r="N38" s="227"/>
      <c r="O38" s="375">
        <f t="shared" si="2"/>
        <v>-2689733</v>
      </c>
      <c r="P38" s="413">
        <f t="shared" si="2"/>
        <v>-6425293</v>
      </c>
      <c r="Q38" s="31"/>
      <c r="R38" s="726" t="s">
        <v>159</v>
      </c>
      <c r="S38" s="727"/>
      <c r="T38" s="72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-30306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-30306</v>
      </c>
      <c r="P39" s="414">
        <f t="shared" si="2"/>
        <v>-47650</v>
      </c>
      <c r="Q39" s="31"/>
      <c r="R39" s="729" t="s">
        <v>160</v>
      </c>
      <c r="S39" s="730"/>
      <c r="T39" s="73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32" t="s">
        <v>161</v>
      </c>
      <c r="S40" s="733"/>
      <c r="T40" s="73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34170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34170</v>
      </c>
      <c r="P42" s="363">
        <f>+ROUND(+G42+J42+M42,0)</f>
        <v>146303</v>
      </c>
      <c r="Q42" s="31"/>
      <c r="R42" s="693" t="s">
        <v>185</v>
      </c>
      <c r="S42" s="694"/>
      <c r="T42" s="69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94447</v>
      </c>
      <c r="G44" s="229">
        <v>126339</v>
      </c>
      <c r="H44" s="15"/>
      <c r="I44" s="230">
        <v>560205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654652</v>
      </c>
      <c r="P44" s="378">
        <f t="shared" si="3"/>
        <v>129791</v>
      </c>
      <c r="Q44" s="31"/>
      <c r="R44" s="699" t="s">
        <v>162</v>
      </c>
      <c r="S44" s="700"/>
      <c r="T44" s="70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157602</v>
      </c>
      <c r="G45" s="231">
        <v>94779</v>
      </c>
      <c r="H45" s="15"/>
      <c r="I45" s="232">
        <v>0</v>
      </c>
      <c r="J45" s="231"/>
      <c r="K45" s="227"/>
      <c r="L45" s="232"/>
      <c r="M45" s="231"/>
      <c r="N45" s="227"/>
      <c r="O45" s="360">
        <f t="shared" si="3"/>
        <v>157602</v>
      </c>
      <c r="P45" s="412">
        <f t="shared" si="3"/>
        <v>94779</v>
      </c>
      <c r="Q45" s="31"/>
      <c r="R45" s="685" t="s">
        <v>163</v>
      </c>
      <c r="S45" s="686"/>
      <c r="T45" s="687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>
        <v>0</v>
      </c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5" t="s">
        <v>164</v>
      </c>
      <c r="S46" s="686"/>
      <c r="T46" s="687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10950</v>
      </c>
      <c r="G47" s="233">
        <v>53235</v>
      </c>
      <c r="H47" s="15"/>
      <c r="I47" s="234">
        <v>0</v>
      </c>
      <c r="J47" s="233"/>
      <c r="K47" s="227"/>
      <c r="L47" s="234"/>
      <c r="M47" s="233"/>
      <c r="N47" s="227"/>
      <c r="O47" s="361">
        <f t="shared" si="3"/>
        <v>10950</v>
      </c>
      <c r="P47" s="384">
        <f t="shared" si="3"/>
        <v>53235</v>
      </c>
      <c r="Q47" s="31"/>
      <c r="R47" s="720" t="s">
        <v>165</v>
      </c>
      <c r="S47" s="721"/>
      <c r="T47" s="72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262999</v>
      </c>
      <c r="G48" s="235">
        <f>+ROUND(+SUM(G44:G47),0)</f>
        <v>274353</v>
      </c>
      <c r="H48" s="15"/>
      <c r="I48" s="236">
        <f>+ROUND(+SUM(I44:I47),0)</f>
        <v>560205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823204</v>
      </c>
      <c r="P48" s="363">
        <f>+ROUND(+SUM(P44:P47),0)</f>
        <v>277805</v>
      </c>
      <c r="Q48" s="31"/>
      <c r="R48" s="693" t="s">
        <v>186</v>
      </c>
      <c r="S48" s="694"/>
      <c r="T48" s="69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30512254</v>
      </c>
      <c r="G50" s="257">
        <f>+ROUND(G25+G30+G37+G42+G48,0)</f>
        <v>32455420</v>
      </c>
      <c r="H50" s="15"/>
      <c r="I50" s="258">
        <f>+ROUND(I25+I30+I37+I42+I48,0)</f>
        <v>560205</v>
      </c>
      <c r="J50" s="257">
        <f>+ROUND(J25+J30+J37+J42+J48,0)</f>
        <v>31091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31072459</v>
      </c>
      <c r="P50" s="380">
        <f>+ROUND(P25+P30+P37+P42+P48,0)</f>
        <v>32486511</v>
      </c>
      <c r="Q50" s="106"/>
      <c r="R50" s="723" t="s">
        <v>187</v>
      </c>
      <c r="S50" s="724"/>
      <c r="T50" s="72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246991025</v>
      </c>
      <c r="G53" s="259">
        <v>379728892</v>
      </c>
      <c r="H53" s="15"/>
      <c r="I53" s="260">
        <v>2727089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249718114</v>
      </c>
      <c r="P53" s="359">
        <f t="shared" si="4"/>
        <v>382033128</v>
      </c>
      <c r="Q53" s="31"/>
      <c r="R53" s="699" t="s">
        <v>188</v>
      </c>
      <c r="S53" s="700"/>
      <c r="T53" s="70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767414</v>
      </c>
      <c r="G54" s="233">
        <v>2090331</v>
      </c>
      <c r="H54" s="15"/>
      <c r="I54" s="234">
        <v>214</v>
      </c>
      <c r="J54" s="233">
        <v>105</v>
      </c>
      <c r="K54" s="227"/>
      <c r="L54" s="234"/>
      <c r="M54" s="233"/>
      <c r="N54" s="227"/>
      <c r="O54" s="361">
        <f t="shared" si="4"/>
        <v>767628</v>
      </c>
      <c r="P54" s="384">
        <f t="shared" si="4"/>
        <v>2090436</v>
      </c>
      <c r="Q54" s="31"/>
      <c r="R54" s="685" t="s">
        <v>166</v>
      </c>
      <c r="S54" s="686"/>
      <c r="T54" s="687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2262646</v>
      </c>
      <c r="G55" s="233">
        <v>2633528</v>
      </c>
      <c r="H55" s="15"/>
      <c r="I55" s="234">
        <v>130</v>
      </c>
      <c r="J55" s="233">
        <v>160</v>
      </c>
      <c r="K55" s="227"/>
      <c r="L55" s="234"/>
      <c r="M55" s="233"/>
      <c r="N55" s="227"/>
      <c r="O55" s="361">
        <f t="shared" si="4"/>
        <v>2262776</v>
      </c>
      <c r="P55" s="384">
        <f t="shared" si="4"/>
        <v>2633688</v>
      </c>
      <c r="Q55" s="31"/>
      <c r="R55" s="685" t="s">
        <v>167</v>
      </c>
      <c r="S55" s="686"/>
      <c r="T55" s="687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307809683</v>
      </c>
      <c r="G56" s="233">
        <v>364619004</v>
      </c>
      <c r="H56" s="15"/>
      <c r="I56" s="234">
        <v>1307377</v>
      </c>
      <c r="J56" s="233">
        <v>1020941</v>
      </c>
      <c r="K56" s="227"/>
      <c r="L56" s="234"/>
      <c r="M56" s="233"/>
      <c r="N56" s="227"/>
      <c r="O56" s="361">
        <f t="shared" si="4"/>
        <v>309117060</v>
      </c>
      <c r="P56" s="384">
        <f t="shared" si="4"/>
        <v>365639945</v>
      </c>
      <c r="Q56" s="31"/>
      <c r="R56" s="685" t="s">
        <v>168</v>
      </c>
      <c r="S56" s="686"/>
      <c r="T56" s="687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59021779</v>
      </c>
      <c r="G57" s="233">
        <v>67990314</v>
      </c>
      <c r="H57" s="15"/>
      <c r="I57" s="234">
        <v>132391</v>
      </c>
      <c r="J57" s="233">
        <v>110823</v>
      </c>
      <c r="K57" s="227"/>
      <c r="L57" s="234"/>
      <c r="M57" s="233"/>
      <c r="N57" s="227"/>
      <c r="O57" s="361">
        <f t="shared" si="4"/>
        <v>59154170</v>
      </c>
      <c r="P57" s="384">
        <f t="shared" si="4"/>
        <v>68101137</v>
      </c>
      <c r="Q57" s="31"/>
      <c r="R57" s="720" t="s">
        <v>169</v>
      </c>
      <c r="S57" s="721"/>
      <c r="T57" s="72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616852547</v>
      </c>
      <c r="G58" s="261">
        <f>+ROUND(+SUM(G53:G57),0)</f>
        <v>817062069</v>
      </c>
      <c r="H58" s="15"/>
      <c r="I58" s="262">
        <f>+ROUND(+SUM(I53:I57),0)</f>
        <v>4167201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621019748</v>
      </c>
      <c r="P58" s="382">
        <f>+ROUND(+SUM(P53:P57),0)</f>
        <v>820498334</v>
      </c>
      <c r="Q58" s="31"/>
      <c r="R58" s="693" t="s">
        <v>189</v>
      </c>
      <c r="S58" s="694"/>
      <c r="T58" s="69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642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9" t="s">
        <v>170</v>
      </c>
      <c r="S60" s="700"/>
      <c r="T60" s="70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643">
        <v>4956459</v>
      </c>
      <c r="G61" s="233">
        <v>8485401</v>
      </c>
      <c r="H61" s="15"/>
      <c r="I61" s="234">
        <v>65724236</v>
      </c>
      <c r="J61" s="233">
        <v>10023198</v>
      </c>
      <c r="K61" s="227"/>
      <c r="L61" s="234"/>
      <c r="M61" s="233"/>
      <c r="N61" s="227"/>
      <c r="O61" s="361">
        <f t="shared" si="5"/>
        <v>70680695</v>
      </c>
      <c r="P61" s="384">
        <f t="shared" si="5"/>
        <v>18508599</v>
      </c>
      <c r="Q61" s="31"/>
      <c r="R61" s="685" t="s">
        <v>171</v>
      </c>
      <c r="S61" s="686"/>
      <c r="T61" s="687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643">
        <v>503279</v>
      </c>
      <c r="G62" s="233">
        <v>4528820</v>
      </c>
      <c r="H62" s="15"/>
      <c r="I62" s="234">
        <v>0</v>
      </c>
      <c r="J62" s="233">
        <v>136800</v>
      </c>
      <c r="K62" s="227"/>
      <c r="L62" s="234"/>
      <c r="M62" s="233"/>
      <c r="N62" s="227"/>
      <c r="O62" s="361">
        <f t="shared" si="5"/>
        <v>503279</v>
      </c>
      <c r="P62" s="384">
        <f t="shared" si="5"/>
        <v>4665620</v>
      </c>
      <c r="Q62" s="31"/>
      <c r="R62" s="685" t="s">
        <v>172</v>
      </c>
      <c r="S62" s="686"/>
      <c r="T62" s="687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64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20" t="s">
        <v>190</v>
      </c>
      <c r="S63" s="721"/>
      <c r="T63" s="72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5459738</v>
      </c>
      <c r="G65" s="261">
        <f>+ROUND(+SUM(G60:G63),0)</f>
        <v>13014221</v>
      </c>
      <c r="H65" s="15"/>
      <c r="I65" s="262">
        <f>+ROUND(+SUM(I60:I63),0)</f>
        <v>65724236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71183974</v>
      </c>
      <c r="P65" s="382">
        <f>+ROUND(+SUM(P60:P63),0)</f>
        <v>23174219</v>
      </c>
      <c r="Q65" s="31"/>
      <c r="R65" s="693" t="s">
        <v>192</v>
      </c>
      <c r="S65" s="694"/>
      <c r="T65" s="69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9" t="s">
        <v>173</v>
      </c>
      <c r="S67" s="700"/>
      <c r="T67" s="70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26619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26619</v>
      </c>
      <c r="P68" s="384">
        <f>+ROUND(+G68+J68+M68,0)</f>
        <v>4427</v>
      </c>
      <c r="Q68" s="31"/>
      <c r="R68" s="685" t="s">
        <v>174</v>
      </c>
      <c r="S68" s="686"/>
      <c r="T68" s="687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26619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26619</v>
      </c>
      <c r="P69" s="382">
        <f>+ROUND(+SUM(P67:P68),0)</f>
        <v>4427</v>
      </c>
      <c r="Q69" s="31"/>
      <c r="R69" s="693" t="s">
        <v>193</v>
      </c>
      <c r="S69" s="694"/>
      <c r="T69" s="69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15033810</v>
      </c>
      <c r="G71" s="259">
        <v>19256118</v>
      </c>
      <c r="H71" s="15"/>
      <c r="I71" s="260">
        <v>1272319</v>
      </c>
      <c r="J71" s="259">
        <v>1780984</v>
      </c>
      <c r="K71" s="227"/>
      <c r="L71" s="260"/>
      <c r="M71" s="259"/>
      <c r="N71" s="227"/>
      <c r="O71" s="366">
        <f>+ROUND(+F71+I71+L71,0)</f>
        <v>16306129</v>
      </c>
      <c r="P71" s="359">
        <f>+ROUND(+G71+J71+M71,0)</f>
        <v>21037102</v>
      </c>
      <c r="Q71" s="31"/>
      <c r="R71" s="699" t="s">
        <v>175</v>
      </c>
      <c r="S71" s="700"/>
      <c r="T71" s="70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5" t="s">
        <v>176</v>
      </c>
      <c r="S72" s="686"/>
      <c r="T72" s="687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15033810</v>
      </c>
      <c r="G73" s="261">
        <f>+ROUND(+SUM(G71:G72),0)</f>
        <v>19256118</v>
      </c>
      <c r="H73" s="15"/>
      <c r="I73" s="262">
        <f>+ROUND(+SUM(I71:I72),0)</f>
        <v>1272319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16306129</v>
      </c>
      <c r="P73" s="382">
        <f>+ROUND(+SUM(P71:P72),0)</f>
        <v>21037102</v>
      </c>
      <c r="Q73" s="31"/>
      <c r="R73" s="693" t="s">
        <v>194</v>
      </c>
      <c r="S73" s="694"/>
      <c r="T73" s="69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223573854</v>
      </c>
      <c r="G75" s="259">
        <v>223956144</v>
      </c>
      <c r="H75" s="15"/>
      <c r="I75" s="260">
        <v>184766</v>
      </c>
      <c r="J75" s="259">
        <v>-88274</v>
      </c>
      <c r="K75" s="227"/>
      <c r="L75" s="260"/>
      <c r="M75" s="259"/>
      <c r="N75" s="227"/>
      <c r="O75" s="366">
        <f>+ROUND(+F75+I75+L75,0)</f>
        <v>223758620</v>
      </c>
      <c r="P75" s="359">
        <f>+ROUND(+G75+J75+M75,0)</f>
        <v>223867870</v>
      </c>
      <c r="Q75" s="31"/>
      <c r="R75" s="699" t="s">
        <v>177</v>
      </c>
      <c r="S75" s="700"/>
      <c r="T75" s="70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10624938</v>
      </c>
      <c r="G76" s="233">
        <v>124126969</v>
      </c>
      <c r="H76" s="15"/>
      <c r="I76" s="234">
        <v>234196</v>
      </c>
      <c r="J76" s="233">
        <v>1867192</v>
      </c>
      <c r="K76" s="227"/>
      <c r="L76" s="234"/>
      <c r="M76" s="233"/>
      <c r="N76" s="227"/>
      <c r="O76" s="361">
        <f>+ROUND(+F76+I76+L76,0)</f>
        <v>10859134</v>
      </c>
      <c r="P76" s="384">
        <f>+ROUND(+G76+J76+M76,0)</f>
        <v>125994161</v>
      </c>
      <c r="Q76" s="31"/>
      <c r="R76" s="685" t="s">
        <v>195</v>
      </c>
      <c r="S76" s="686"/>
      <c r="T76" s="687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234198792</v>
      </c>
      <c r="G77" s="261">
        <f>+ROUND(+SUM(G75:G76),0)</f>
        <v>348083113</v>
      </c>
      <c r="H77" s="15"/>
      <c r="I77" s="262">
        <f>+ROUND(+SUM(I75:I76),0)</f>
        <v>418962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234617754</v>
      </c>
      <c r="P77" s="382">
        <f>+ROUND(+SUM(P75:P76),0)</f>
        <v>349862031</v>
      </c>
      <c r="Q77" s="31"/>
      <c r="R77" s="693" t="s">
        <v>196</v>
      </c>
      <c r="S77" s="694"/>
      <c r="T77" s="69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871571506</v>
      </c>
      <c r="G79" s="272">
        <f>+ROUND(G58+G65+G69+G73+G77,0)</f>
        <v>1197419948</v>
      </c>
      <c r="H79" s="15"/>
      <c r="I79" s="269">
        <f>+ROUND(I58+I65+I69+I73+I77,0)</f>
        <v>71582718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943154224</v>
      </c>
      <c r="P79" s="392">
        <f>+ROUND(P58+P65+P69+P73+P77,0)</f>
        <v>1214576113</v>
      </c>
      <c r="Q79" s="31"/>
      <c r="R79" s="696" t="s">
        <v>197</v>
      </c>
      <c r="S79" s="697"/>
      <c r="T79" s="69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824133505</v>
      </c>
      <c r="G81" s="229">
        <v>1213483842</v>
      </c>
      <c r="H81" s="15"/>
      <c r="I81" s="230">
        <v>89942110</v>
      </c>
      <c r="J81" s="229">
        <v>67164003</v>
      </c>
      <c r="K81" s="227"/>
      <c r="L81" s="230"/>
      <c r="M81" s="229"/>
      <c r="N81" s="227"/>
      <c r="O81" s="365">
        <f>+ROUND(+F81+I81+L81,0)</f>
        <v>914075615</v>
      </c>
      <c r="P81" s="378">
        <f>+ROUND(+G81+J81+M81,0)</f>
        <v>1280647845</v>
      </c>
      <c r="Q81" s="31"/>
      <c r="R81" s="699" t="s">
        <v>178</v>
      </c>
      <c r="S81" s="700"/>
      <c r="T81" s="70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-18127292</v>
      </c>
      <c r="J82" s="233">
        <v>-48048873</v>
      </c>
      <c r="K82" s="227"/>
      <c r="L82" s="234"/>
      <c r="M82" s="233"/>
      <c r="N82" s="227"/>
      <c r="O82" s="361">
        <f>+ROUND(+F82+I82+L82,0)</f>
        <v>-18127292</v>
      </c>
      <c r="P82" s="384">
        <f>+ROUND(+G82+J82+M82,0)</f>
        <v>-48048873</v>
      </c>
      <c r="Q82" s="31"/>
      <c r="R82" s="685" t="s">
        <v>179</v>
      </c>
      <c r="S82" s="686"/>
      <c r="T82" s="687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824133505</v>
      </c>
      <c r="G83" s="270">
        <f>+ROUND(G81+G82,0)</f>
        <v>1213483842</v>
      </c>
      <c r="H83" s="15"/>
      <c r="I83" s="271">
        <f>+ROUND(I81+I82,0)</f>
        <v>71814818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895948323</v>
      </c>
      <c r="P83" s="387">
        <f>+ROUND(P81+P82,0)</f>
        <v>1232598972</v>
      </c>
      <c r="Q83" s="31"/>
      <c r="R83" s="711" t="s">
        <v>198</v>
      </c>
      <c r="S83" s="712"/>
      <c r="T83" s="71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9"/>
      <c r="D84" s="74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-16925747</v>
      </c>
      <c r="G85" s="291">
        <f>+ROUND(G50,0)-ROUND(G79,0)+ROUND(G83,0)</f>
        <v>48519314</v>
      </c>
      <c r="H85" s="15"/>
      <c r="I85" s="292">
        <f>+ROUND(I50,0)-ROUND(I79,0)+ROUND(I83,0)</f>
        <v>792305</v>
      </c>
      <c r="J85" s="291">
        <f>+ROUND(J50,0)-ROUND(J79,0)+ROUND(J83,0)</f>
        <v>1990056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-16133442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16925747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-792305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16133442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0</v>
      </c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-64141650</v>
      </c>
      <c r="Q89" s="31"/>
      <c r="R89" s="699" t="s">
        <v>199</v>
      </c>
      <c r="S89" s="700"/>
      <c r="T89" s="70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>
        <v>0</v>
      </c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685" t="s">
        <v>200</v>
      </c>
      <c r="S90" s="686"/>
      <c r="T90" s="687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-63641650</v>
      </c>
      <c r="Q91" s="31"/>
      <c r="R91" s="693" t="s">
        <v>201</v>
      </c>
      <c r="S91" s="694"/>
      <c r="T91" s="69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1558325</v>
      </c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1558325</v>
      </c>
      <c r="P93" s="378">
        <f t="shared" si="6"/>
        <v>-35000000</v>
      </c>
      <c r="Q93" s="31"/>
      <c r="R93" s="699" t="s">
        <v>202</v>
      </c>
      <c r="S93" s="700"/>
      <c r="T93" s="70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490741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490741</v>
      </c>
      <c r="P94" s="384">
        <f t="shared" si="6"/>
        <v>588889</v>
      </c>
      <c r="Q94" s="31"/>
      <c r="R94" s="685" t="s">
        <v>203</v>
      </c>
      <c r="S94" s="686"/>
      <c r="T94" s="687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5" t="s">
        <v>204</v>
      </c>
      <c r="S95" s="686"/>
      <c r="T95" s="687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20" t="s">
        <v>205</v>
      </c>
      <c r="S96" s="721"/>
      <c r="T96" s="72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2049066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2049066</v>
      </c>
      <c r="P97" s="363">
        <f>+ROUND(+SUM(P93:P96),0)</f>
        <v>-34411111</v>
      </c>
      <c r="Q97" s="31"/>
      <c r="R97" s="693" t="s">
        <v>206</v>
      </c>
      <c r="S97" s="694"/>
      <c r="T97" s="69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9" t="s">
        <v>207</v>
      </c>
      <c r="S99" s="700"/>
      <c r="T99" s="70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21915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21915</v>
      </c>
      <c r="P100" s="384">
        <f>+ROUND(+G100+J100+M100,0)</f>
        <v>-66082</v>
      </c>
      <c r="Q100" s="31"/>
      <c r="R100" s="685" t="s">
        <v>208</v>
      </c>
      <c r="S100" s="686"/>
      <c r="T100" s="687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21915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21915</v>
      </c>
      <c r="P101" s="363">
        <f>+ROUND(+SUM(P99:P100),0)</f>
        <v>-66082</v>
      </c>
      <c r="Q101" s="31"/>
      <c r="R101" s="693" t="s">
        <v>209</v>
      </c>
      <c r="S101" s="694"/>
      <c r="T101" s="69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2070981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2070981</v>
      </c>
      <c r="P103" s="380">
        <f>+ROUND(P91+P97+P101,0)</f>
        <v>-98118843</v>
      </c>
      <c r="Q103" s="106"/>
      <c r="R103" s="723" t="s">
        <v>210</v>
      </c>
      <c r="S103" s="724"/>
      <c r="T103" s="725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9" t="s">
        <v>211</v>
      </c>
      <c r="S106" s="700"/>
      <c r="T106" s="70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5" t="s">
        <v>212</v>
      </c>
      <c r="S107" s="686"/>
      <c r="T107" s="687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3" t="s">
        <v>213</v>
      </c>
      <c r="S108" s="694"/>
      <c r="T108" s="69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5" t="s">
        <v>214</v>
      </c>
      <c r="S110" s="706"/>
      <c r="T110" s="70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8" t="s">
        <v>215</v>
      </c>
      <c r="S111" s="709"/>
      <c r="T111" s="71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3" t="s">
        <v>216</v>
      </c>
      <c r="S112" s="694"/>
      <c r="T112" s="69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9" t="s">
        <v>217</v>
      </c>
      <c r="S114" s="700"/>
      <c r="T114" s="70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5" t="s">
        <v>218</v>
      </c>
      <c r="S115" s="686"/>
      <c r="T115" s="687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3" t="s">
        <v>219</v>
      </c>
      <c r="S116" s="694"/>
      <c r="T116" s="69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84976</v>
      </c>
      <c r="G118" s="259">
        <v>345019</v>
      </c>
      <c r="H118" s="15"/>
      <c r="I118" s="260"/>
      <c r="J118" s="259"/>
      <c r="K118" s="227"/>
      <c r="L118" s="260">
        <v>-3967268</v>
      </c>
      <c r="M118" s="259">
        <v>-39672013</v>
      </c>
      <c r="N118" s="227"/>
      <c r="O118" s="366">
        <f>+ROUND(+F118+I118+L118,0)</f>
        <v>-3882292</v>
      </c>
      <c r="P118" s="359">
        <f>+ROUND(+G118+J118+M118,0)</f>
        <v>-39326994</v>
      </c>
      <c r="Q118" s="31"/>
      <c r="R118" s="699" t="s">
        <v>220</v>
      </c>
      <c r="S118" s="700"/>
      <c r="T118" s="70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685" t="s">
        <v>221</v>
      </c>
      <c r="S119" s="686"/>
      <c r="T119" s="687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87252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-3967268</v>
      </c>
      <c r="M120" s="261">
        <f>+ROUND(+SUM(M118:M119),0)</f>
        <v>-39672013</v>
      </c>
      <c r="N120" s="227"/>
      <c r="O120" s="381">
        <f>+ROUND(+SUM(O118:O119),0)</f>
        <v>-3880016</v>
      </c>
      <c r="P120" s="382">
        <f>+ROUND(+SUM(P118:P119),0)</f>
        <v>-40107490</v>
      </c>
      <c r="Q120" s="31"/>
      <c r="R120" s="693" t="s">
        <v>222</v>
      </c>
      <c r="S120" s="694"/>
      <c r="T120" s="69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87252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-3967268</v>
      </c>
      <c r="M122" s="272">
        <f>+ROUND(M108+M112+M116+M120,0)</f>
        <v>-39672013</v>
      </c>
      <c r="N122" s="227"/>
      <c r="O122" s="385">
        <f>+ROUND(O108+O112+O116+O120,0)</f>
        <v>-3880016</v>
      </c>
      <c r="P122" s="392">
        <f>+ROUND(P108+P112+P116+P120,0)</f>
        <v>-40107490</v>
      </c>
      <c r="Q122" s="31"/>
      <c r="R122" s="696" t="s">
        <v>223</v>
      </c>
      <c r="S122" s="697"/>
      <c r="T122" s="69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>
        <v>0</v>
      </c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9" t="s">
        <v>224</v>
      </c>
      <c r="S124" s="700"/>
      <c r="T124" s="701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15348554</v>
      </c>
      <c r="G125" s="233">
        <v>50028407</v>
      </c>
      <c r="H125" s="15"/>
      <c r="I125" s="234">
        <v>-795684</v>
      </c>
      <c r="J125" s="233">
        <v>-1980564</v>
      </c>
      <c r="K125" s="227"/>
      <c r="L125" s="234">
        <v>-3259</v>
      </c>
      <c r="M125" s="233">
        <v>573</v>
      </c>
      <c r="N125" s="227"/>
      <c r="O125" s="361">
        <f t="shared" si="7"/>
        <v>14549611</v>
      </c>
      <c r="P125" s="384">
        <f t="shared" si="7"/>
        <v>48048416</v>
      </c>
      <c r="Q125" s="31"/>
      <c r="R125" s="685" t="s">
        <v>225</v>
      </c>
      <c r="S125" s="686"/>
      <c r="T125" s="687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-324332</v>
      </c>
      <c r="G126" s="233">
        <v>9492</v>
      </c>
      <c r="H126" s="15"/>
      <c r="I126" s="234">
        <v>3379</v>
      </c>
      <c r="J126" s="233">
        <v>-9492</v>
      </c>
      <c r="K126" s="227"/>
      <c r="L126" s="234">
        <v>0</v>
      </c>
      <c r="M126" s="233"/>
      <c r="N126" s="227"/>
      <c r="O126" s="361">
        <f t="shared" si="7"/>
        <v>-320953</v>
      </c>
      <c r="P126" s="384">
        <f t="shared" si="7"/>
        <v>0</v>
      </c>
      <c r="Q126" s="31"/>
      <c r="R126" s="714" t="s">
        <v>286</v>
      </c>
      <c r="S126" s="715"/>
      <c r="T126" s="71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82" t="s">
        <v>282</v>
      </c>
      <c r="S127" s="683"/>
      <c r="T127" s="684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7" t="s">
        <v>226</v>
      </c>
      <c r="S128" s="718"/>
      <c r="T128" s="71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15024222</v>
      </c>
      <c r="G129" s="270">
        <f>+ROUND(+SUM(G124,G125,G126,G128),0)</f>
        <v>50037899</v>
      </c>
      <c r="H129" s="15"/>
      <c r="I129" s="271">
        <f>+ROUND(+SUM(I124,I125,I126,I128),0)</f>
        <v>-792305</v>
      </c>
      <c r="J129" s="270">
        <f>+ROUND(+SUM(J124,J125,J126,J128),0)</f>
        <v>-1990056</v>
      </c>
      <c r="K129" s="227"/>
      <c r="L129" s="271">
        <f>+ROUND(+SUM(L124,L125,L126,L128),0)</f>
        <v>-3259</v>
      </c>
      <c r="M129" s="270">
        <f>+ROUND(+SUM(M124,M125,M126,M128),0)</f>
        <v>573</v>
      </c>
      <c r="N129" s="227"/>
      <c r="O129" s="386">
        <f>+ROUND(+SUM(O124,O125,O126,O128),0)</f>
        <v>14228658</v>
      </c>
      <c r="P129" s="387">
        <f>+ROUND(+SUM(P124,P125,P126,P128),0)</f>
        <v>48048416</v>
      </c>
      <c r="Q129" s="31"/>
      <c r="R129" s="711" t="s">
        <v>227</v>
      </c>
      <c r="S129" s="712"/>
      <c r="T129" s="71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103043245</v>
      </c>
      <c r="M131" s="229">
        <v>142714426</v>
      </c>
      <c r="N131" s="227"/>
      <c r="O131" s="365">
        <f aca="true" t="shared" si="8" ref="O131:P133">+ROUND(+F131+I131+L131,0)</f>
        <v>105534587</v>
      </c>
      <c r="P131" s="378">
        <f t="shared" si="8"/>
        <v>145173229</v>
      </c>
      <c r="Q131" s="31"/>
      <c r="R131" s="699" t="s">
        <v>228</v>
      </c>
      <c r="S131" s="700"/>
      <c r="T131" s="701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-1027</v>
      </c>
      <c r="G132" s="233">
        <v>29646</v>
      </c>
      <c r="H132" s="15"/>
      <c r="I132" s="234"/>
      <c r="J132" s="233"/>
      <c r="K132" s="227"/>
      <c r="L132" s="234">
        <v>-106</v>
      </c>
      <c r="M132" s="233">
        <v>258</v>
      </c>
      <c r="N132" s="227"/>
      <c r="O132" s="361">
        <f t="shared" si="8"/>
        <v>-1133</v>
      </c>
      <c r="P132" s="384">
        <f t="shared" si="8"/>
        <v>29904</v>
      </c>
      <c r="Q132" s="31"/>
      <c r="R132" s="685" t="s">
        <v>229</v>
      </c>
      <c r="S132" s="686"/>
      <c r="T132" s="687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2747023</v>
      </c>
      <c r="G133" s="233">
        <v>2491342</v>
      </c>
      <c r="H133" s="15"/>
      <c r="I133" s="234"/>
      <c r="J133" s="233"/>
      <c r="K133" s="227"/>
      <c r="L133" s="234">
        <v>99072612</v>
      </c>
      <c r="M133" s="233">
        <v>103043244</v>
      </c>
      <c r="N133" s="227"/>
      <c r="O133" s="361">
        <f t="shared" si="8"/>
        <v>101819635</v>
      </c>
      <c r="P133" s="384">
        <f t="shared" si="8"/>
        <v>105534586</v>
      </c>
      <c r="Q133" s="31"/>
      <c r="R133" s="702" t="s">
        <v>230</v>
      </c>
      <c r="S133" s="703"/>
      <c r="T133" s="704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256708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-3970527</v>
      </c>
      <c r="M134" s="275">
        <f>+ROUND(+M133-M131-M132,0)</f>
        <v>-39671440</v>
      </c>
      <c r="N134" s="227"/>
      <c r="O134" s="394">
        <f>+ROUND(+O133-O131-O132,0)</f>
        <v>-3713819</v>
      </c>
      <c r="P134" s="395">
        <f>+ROUND(+P133-P131-P132,0)</f>
        <v>-39668547</v>
      </c>
      <c r="Q134" s="31"/>
      <c r="R134" s="690" t="s">
        <v>295</v>
      </c>
      <c r="S134" s="691"/>
      <c r="T134" s="69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1"/>
      <c r="D135" s="74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9" t="s">
        <v>309</v>
      </c>
      <c r="S137" s="780"/>
      <c r="T137" s="7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82" t="s">
        <v>306</v>
      </c>
      <c r="S138" s="783"/>
      <c r="T138" s="7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5" t="s">
        <v>305</v>
      </c>
      <c r="S139" s="786"/>
      <c r="T139" s="7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8" t="s">
        <v>296</v>
      </c>
      <c r="S140" s="789"/>
      <c r="T140" s="7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256708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-3970527</v>
      </c>
      <c r="M142" s="537">
        <f>+M134+M140</f>
        <v>-39671440</v>
      </c>
      <c r="N142" s="227"/>
      <c r="O142" s="394">
        <f>+O134+O140</f>
        <v>-3713819</v>
      </c>
      <c r="P142" s="395">
        <f>+P134+P140</f>
        <v>-39668547</v>
      </c>
      <c r="Q142" s="31"/>
      <c r="R142" s="791" t="s">
        <v>298</v>
      </c>
      <c r="S142" s="792"/>
      <c r="T142" s="7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17112023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4" t="s">
        <v>456</v>
      </c>
      <c r="G148" s="795"/>
      <c r="H148" s="795"/>
      <c r="I148" s="796"/>
      <c r="J148" s="346"/>
      <c r="K148" s="16"/>
      <c r="L148" s="346" t="s">
        <v>234</v>
      </c>
      <c r="M148" s="794" t="s">
        <v>457</v>
      </c>
      <c r="N148" s="795"/>
      <c r="O148" s="795"/>
      <c r="P148" s="796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2747023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99072612</v>
      </c>
      <c r="M160" s="566">
        <f>+M133+M139</f>
        <v>103043244</v>
      </c>
      <c r="N160" s="227"/>
      <c r="O160" s="569">
        <f>+ROUND(+F160+I160+L160,0)</f>
        <v>101819635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5">
        <f>+'Cash-Flow-2023-Leva'!P5</f>
        <v>2023</v>
      </c>
      <c r="D161" s="776"/>
      <c r="F161" s="562">
        <v>2747023</v>
      </c>
      <c r="G161" s="563">
        <v>2491342</v>
      </c>
      <c r="I161" s="562"/>
      <c r="J161" s="563"/>
      <c r="K161" s="227"/>
      <c r="L161" s="562">
        <v>99072612</v>
      </c>
      <c r="M161" s="563">
        <v>103043244</v>
      </c>
      <c r="N161" s="227"/>
      <c r="O161" s="571">
        <f>+ROUND(+F161+I161+L161,0)</f>
        <v>101819635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31.10.2023 г.</v>
      </c>
      <c r="G162" s="556">
        <f>+G11</f>
        <v>2022</v>
      </c>
      <c r="I162" s="594" t="str">
        <f>+I11</f>
        <v>31.10.2023 г.</v>
      </c>
      <c r="J162" s="558">
        <f>+J11</f>
        <v>2022</v>
      </c>
      <c r="K162" s="11"/>
      <c r="L162" s="595" t="str">
        <f>+L11</f>
        <v>31.10.2023 г.</v>
      </c>
      <c r="M162" s="561">
        <f>+M11</f>
        <v>2022</v>
      </c>
      <c r="N162" s="11"/>
      <c r="O162" s="596" t="str">
        <f>+O11</f>
        <v>31.10.2023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81">
        <f>+IF(F171&gt;0,"БЮДЖЕТ",0)</f>
        <v>0</v>
      </c>
      <c r="G170" s="681"/>
      <c r="I170" s="681">
        <f>+IF(I171&gt;0,"СЕС",0)</f>
        <v>0</v>
      </c>
      <c r="J170" s="681"/>
      <c r="K170" s="11"/>
      <c r="L170" s="681">
        <f>+IF(L171&gt;0,"ДСД",0)</f>
        <v>0</v>
      </c>
      <c r="M170" s="681"/>
      <c r="N170" s="11"/>
      <c r="O170" s="681">
        <f>+IF(O171&gt;0,"Общо (Б-т + СЕС + ДСД)",0)</f>
        <v>0</v>
      </c>
      <c r="P170" s="681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81">
        <f>+COUNTIF(F168:G168,"&lt;&gt;0")</f>
        <v>0</v>
      </c>
      <c r="G171" s="681"/>
      <c r="I171" s="681">
        <f>+COUNTIF(I168:J168,"&lt;&gt;0")</f>
        <v>0</v>
      </c>
      <c r="J171" s="681"/>
      <c r="K171" s="11"/>
      <c r="L171" s="681">
        <f>+COUNTIF(L168:M168,"&lt;&gt;0")</f>
        <v>0</v>
      </c>
      <c r="M171" s="681"/>
      <c r="N171" s="11"/>
      <c r="O171" s="681">
        <f>+COUNTIF(O168:P168,"&lt;&gt;0")</f>
        <v>0</v>
      </c>
      <c r="P171" s="681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0">
        <f>+IF(O174&gt;0,"ВСИЧКО: Б-т + СЕС + ДСД + Общо",0)</f>
        <v>0</v>
      </c>
      <c r="P173" s="680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0">
        <f>+SUM(F171:P171)</f>
        <v>0</v>
      </c>
      <c r="P174" s="680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4 K118 K126 K125 K133 K131 K11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7" t="str">
        <f>+'Cash-Flow-2023-Leva'!B1:F1</f>
        <v>ПРБ МИНИСТЕРСТВО НА ЗДРАВЕОПАЗВАНЕТО</v>
      </c>
      <c r="C1" s="808"/>
      <c r="D1" s="808"/>
      <c r="E1" s="808"/>
      <c r="F1" s="809"/>
      <c r="G1" s="438" t="s">
        <v>244</v>
      </c>
      <c r="H1" s="121"/>
      <c r="I1" s="810">
        <f>+'Cash-Flow-2023-Leva'!I1:J1</f>
        <v>695317</v>
      </c>
      <c r="J1" s="811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12">
        <f>+'Cash-Flow-2023-Leva'!$S$1</f>
        <v>0</v>
      </c>
      <c r="T1" s="813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4" t="s">
        <v>249</v>
      </c>
      <c r="C2" s="815"/>
      <c r="D2" s="815"/>
      <c r="E2" s="815"/>
      <c r="F2" s="816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7" t="str">
        <f>+'Cash-Flow-2023-Leva'!B3:F3</f>
        <v>[Седалище и адрес]</v>
      </c>
      <c r="C3" s="818"/>
      <c r="D3" s="818"/>
      <c r="E3" s="818"/>
      <c r="F3" s="819"/>
      <c r="G3" s="445" t="s">
        <v>238</v>
      </c>
      <c r="H3" s="820">
        <f>+'Cash-Flow-2023-Leva'!H3</f>
        <v>0</v>
      </c>
      <c r="I3" s="821"/>
      <c r="J3" s="821"/>
      <c r="K3" s="822"/>
      <c r="L3" s="51" t="s">
        <v>246</v>
      </c>
      <c r="M3" s="823">
        <f>+'Cash-Flow-2023-Leva'!M3:P3</f>
        <v>0</v>
      </c>
      <c r="N3" s="824"/>
      <c r="O3" s="824"/>
      <c r="P3" s="825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7">
        <f>+'Cash-Flow-2023-Leva'!B5</f>
        <v>0</v>
      </c>
      <c r="C5" s="777"/>
      <c r="D5" s="798" t="s">
        <v>243</v>
      </c>
      <c r="E5" s="798"/>
      <c r="F5" s="798"/>
      <c r="G5" s="798"/>
      <c r="H5" s="798"/>
      <c r="I5" s="798"/>
      <c r="J5" s="798"/>
      <c r="K5" s="798"/>
      <c r="L5" s="798"/>
      <c r="M5" s="39"/>
      <c r="N5" s="39"/>
      <c r="O5" s="53" t="s">
        <v>17</v>
      </c>
      <c r="P5" s="449">
        <f>+'Cash-Flow-2023-Leva'!P5</f>
        <v>2023</v>
      </c>
      <c r="Q5" s="39"/>
      <c r="R5" s="797" t="s">
        <v>180</v>
      </c>
      <c r="S5" s="797"/>
      <c r="T5" s="797"/>
      <c r="U5" s="6"/>
    </row>
    <row r="6" spans="1:28" s="3" customFormat="1" ht="17.25" customHeight="1">
      <c r="A6" s="6"/>
      <c r="B6" s="806">
        <f>+'Cash-Flow-2023-Leva'!B6</f>
        <v>0</v>
      </c>
      <c r="C6" s="806"/>
      <c r="D6" s="798" t="s">
        <v>242</v>
      </c>
      <c r="E6" s="798"/>
      <c r="F6" s="798"/>
      <c r="G6" s="798"/>
      <c r="H6" s="798"/>
      <c r="I6" s="798"/>
      <c r="J6" s="798"/>
      <c r="K6" s="798"/>
      <c r="L6" s="798"/>
      <c r="M6" s="42"/>
      <c r="N6" s="5"/>
      <c r="O6" s="6"/>
      <c r="P6" s="6"/>
      <c r="Q6" s="1"/>
      <c r="R6" s="799">
        <f>+P4</f>
        <v>0</v>
      </c>
      <c r="S6" s="799"/>
      <c r="T6" s="799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00" t="str">
        <f>+B1</f>
        <v>ПРБ МИНИСТЕРСТВО НА ЗДРАВЕОПАЗВАНЕТО</v>
      </c>
      <c r="E8" s="800"/>
      <c r="F8" s="800"/>
      <c r="G8" s="800"/>
      <c r="H8" s="800"/>
      <c r="I8" s="800"/>
      <c r="J8" s="800"/>
      <c r="K8" s="800"/>
      <c r="L8" s="800"/>
      <c r="M8" s="446" t="s">
        <v>247</v>
      </c>
      <c r="N8" s="5"/>
      <c r="O8" s="597" t="str">
        <f>+'Cash-Flow-2023-Leva'!O8</f>
        <v>31.10.2023 г.</v>
      </c>
      <c r="P8" s="447" t="s">
        <v>8</v>
      </c>
      <c r="Q8" s="1"/>
      <c r="R8" s="801">
        <f>+P5</f>
        <v>2023</v>
      </c>
      <c r="S8" s="802"/>
      <c r="T8" s="803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31.10.2023 г.</v>
      </c>
      <c r="G11" s="396">
        <f>+'Cash-Flow-2023-Leva'!G11</f>
        <v>2022</v>
      </c>
      <c r="H11" s="5"/>
      <c r="I11" s="589" t="str">
        <f>+O8</f>
        <v>31.10.2023 г.</v>
      </c>
      <c r="J11" s="397">
        <f>+'Cash-Flow-2023-Leva'!J11</f>
        <v>2022</v>
      </c>
      <c r="K11" s="5"/>
      <c r="L11" s="590" t="str">
        <f>+O8</f>
        <v>31.10.2023 г.</v>
      </c>
      <c r="M11" s="398">
        <f>+'Cash-Flow-2023-Leva'!M11</f>
        <v>2022</v>
      </c>
      <c r="N11" s="462"/>
      <c r="O11" s="591" t="str">
        <f>+O8</f>
        <v>31.10.2023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24395.706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24395.706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1216.881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1216.881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5705.105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5705.105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286.535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286.535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1490.07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1490.07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53.216</v>
      </c>
      <c r="G24" s="267">
        <f>+'Cash-Flow-2023-Leva'!G24/1000</f>
        <v>56.933</v>
      </c>
      <c r="H24" s="277"/>
      <c r="I24" s="268">
        <f>+'Cash-Flow-2023-Leva'!I24/1000</f>
        <v>0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53.216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33147.513</v>
      </c>
      <c r="G25" s="235">
        <f>+SUM(G15,G16,G18,G19,G20,G21,G22,G23,G24)</f>
        <v>38753.503000000004</v>
      </c>
      <c r="H25" s="277"/>
      <c r="I25" s="236">
        <f>+SUM(I15,I16,I18,I19,I20,I21,I22,I23,I24)</f>
        <v>0</v>
      </c>
      <c r="J25" s="235">
        <f>+SUM(J15,J16,J18,J19,J20,J21,J22,J23,J24)</f>
        <v>27.639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33147.513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25.165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25.165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25.165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25.165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-2957.593</v>
      </c>
      <c r="G37" s="235">
        <f>+'Cash-Flow-2023-Leva'!G37/1000</f>
        <v>-6807.263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-2957.593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-2689.733</v>
      </c>
      <c r="G38" s="280">
        <f>+'Cash-Flow-2023-Leva'!G38/1000</f>
        <v>-6425.293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-2689.733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-30.306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-30.306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34.17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34.17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94.447</v>
      </c>
      <c r="G44" s="255">
        <f>+'Cash-Flow-2023-Leva'!G44/1000</f>
        <v>126.339</v>
      </c>
      <c r="H44" s="277"/>
      <c r="I44" s="256">
        <f>+'Cash-Flow-2023-Leva'!I44/1000</f>
        <v>560.205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654.652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157.602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157.602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10.95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10.95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262.999</v>
      </c>
      <c r="G48" s="235">
        <f>+SUM(G44:G47)</f>
        <v>274.353</v>
      </c>
      <c r="H48" s="277"/>
      <c r="I48" s="236">
        <f>+SUM(I44:I47)</f>
        <v>560.205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823.2040000000001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30512.253999999997</v>
      </c>
      <c r="G50" s="257">
        <f>+G25+G30+G37+G42+G48</f>
        <v>32455.420000000002</v>
      </c>
      <c r="H50" s="277"/>
      <c r="I50" s="258">
        <f>+I25+I30+I37+I42+I48</f>
        <v>560.205</v>
      </c>
      <c r="J50" s="257">
        <f>+J25+J30+J37+J42+J48</f>
        <v>31.091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31072.459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246991.025</v>
      </c>
      <c r="G53" s="228">
        <f>+'Cash-Flow-2023-Leva'!G53/1000</f>
        <v>379728.892</v>
      </c>
      <c r="H53" s="277"/>
      <c r="I53" s="238">
        <f>+'Cash-Flow-2023-Leva'!I53/1000</f>
        <v>2727.089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249718.114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767.414</v>
      </c>
      <c r="G54" s="267">
        <f>+'Cash-Flow-2023-Leva'!G54/1000</f>
        <v>2090.331</v>
      </c>
      <c r="H54" s="277"/>
      <c r="I54" s="268">
        <f>+'Cash-Flow-2023-Leva'!I54/1000</f>
        <v>0.214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767.628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2262.646</v>
      </c>
      <c r="G55" s="267">
        <f>+'Cash-Flow-2023-Leva'!G55/1000</f>
        <v>2633.528</v>
      </c>
      <c r="H55" s="277"/>
      <c r="I55" s="268">
        <f>+'Cash-Flow-2023-Leva'!I55/1000</f>
        <v>0.13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2262.7760000000003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307809.683</v>
      </c>
      <c r="G56" s="267">
        <f>+'Cash-Flow-2023-Leva'!G56/1000</f>
        <v>364619.004</v>
      </c>
      <c r="H56" s="277"/>
      <c r="I56" s="268">
        <f>+'Cash-Flow-2023-Leva'!I56/1000</f>
        <v>1307.377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309117.06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59021.779</v>
      </c>
      <c r="G57" s="267">
        <f>+'Cash-Flow-2023-Leva'!G57/1000</f>
        <v>67990.314</v>
      </c>
      <c r="H57" s="277"/>
      <c r="I57" s="268">
        <f>+'Cash-Flow-2023-Leva'!I57/1000</f>
        <v>132.391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59154.170000000006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616852.547</v>
      </c>
      <c r="G58" s="261">
        <f>+SUM(G53:G57)</f>
        <v>817062.069</v>
      </c>
      <c r="H58" s="277"/>
      <c r="I58" s="262">
        <f>+SUM(I53:I57)</f>
        <v>4167.201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621019.748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4956.459</v>
      </c>
      <c r="G61" s="267">
        <f>+'Cash-Flow-2023-Leva'!G61/1000</f>
        <v>8485.401</v>
      </c>
      <c r="H61" s="277"/>
      <c r="I61" s="268">
        <f>+'Cash-Flow-2023-Leva'!I61/1000</f>
        <v>65724.236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70680.695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503.279</v>
      </c>
      <c r="G62" s="267">
        <f>+'Cash-Flow-2023-Leva'!G62/1000</f>
        <v>4528.82</v>
      </c>
      <c r="H62" s="277"/>
      <c r="I62" s="268">
        <f>+'Cash-Flow-2023-Leva'!I62/1000</f>
        <v>0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503.279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5459.737999999999</v>
      </c>
      <c r="G65" s="261">
        <f>+SUM(G60:G63)</f>
        <v>13014.221</v>
      </c>
      <c r="H65" s="277"/>
      <c r="I65" s="262">
        <f>+SUM(I60:I63)</f>
        <v>65724.236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71183.974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26.619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26.619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26.619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26.619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15033.81</v>
      </c>
      <c r="G71" s="228">
        <f>+'Cash-Flow-2023-Leva'!G71/1000</f>
        <v>19256.118</v>
      </c>
      <c r="H71" s="277"/>
      <c r="I71" s="238">
        <f>+'Cash-Flow-2023-Leva'!I71/1000</f>
        <v>1272.319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16306.128999999999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15033.81</v>
      </c>
      <c r="G73" s="261">
        <f>+SUM(G71:G72)</f>
        <v>19256.118</v>
      </c>
      <c r="H73" s="277"/>
      <c r="I73" s="262">
        <f>+SUM(I71:I72)</f>
        <v>1272.319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16306.128999999999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223573.854</v>
      </c>
      <c r="G75" s="228">
        <f>+'Cash-Flow-2023-Leva'!G75/1000</f>
        <v>223956.144</v>
      </c>
      <c r="H75" s="277"/>
      <c r="I75" s="238">
        <f>+'Cash-Flow-2023-Leva'!I75/1000</f>
        <v>184.766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223758.62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10624.938</v>
      </c>
      <c r="G76" s="267">
        <f>+'Cash-Flow-2023-Leva'!G76/1000</f>
        <v>124126.969</v>
      </c>
      <c r="H76" s="277"/>
      <c r="I76" s="268">
        <f>+'Cash-Flow-2023-Leva'!I76/1000</f>
        <v>234.196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10859.134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234198.792</v>
      </c>
      <c r="G77" s="261">
        <f>+SUM(G75:G76)</f>
        <v>348083.113</v>
      </c>
      <c r="H77" s="277"/>
      <c r="I77" s="262">
        <f>+SUM(I75:I76)</f>
        <v>418.962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234617.754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871571.506</v>
      </c>
      <c r="G79" s="272">
        <f>+G58+G65+G69+G73+G77</f>
        <v>1197419.948</v>
      </c>
      <c r="H79" s="277"/>
      <c r="I79" s="269">
        <f>+I58+I65+I69+I73+I77</f>
        <v>71582.71800000001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943154.2239999999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824133.505</v>
      </c>
      <c r="G81" s="255">
        <f>+'Cash-Flow-2023-Leva'!G81/1000</f>
        <v>1213483.842</v>
      </c>
      <c r="H81" s="277"/>
      <c r="I81" s="256">
        <f>+'Cash-Flow-2023-Leva'!I81/1000</f>
        <v>89942.11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914075.615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-18127.292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-18127.292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824133.505</v>
      </c>
      <c r="G83" s="270">
        <f>+G81+G82</f>
        <v>1213483.842</v>
      </c>
      <c r="H83" s="277"/>
      <c r="I83" s="271">
        <f>+I81+I82</f>
        <v>71814.818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895948.323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5"/>
      <c r="D84" s="805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-16925.74700000009</v>
      </c>
      <c r="G85" s="291">
        <f>+G50-G79+G83</f>
        <v>48519.31399999978</v>
      </c>
      <c r="H85" s="277"/>
      <c r="I85" s="292">
        <f>+I50-I79+I83</f>
        <v>792.304999999993</v>
      </c>
      <c r="J85" s="291">
        <f>+J50-J79+J83</f>
        <v>1990.0559999999969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-16133.441999999923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16925.747</v>
      </c>
      <c r="G86" s="293">
        <f>+G103+G122+G129-G134</f>
        <v>-48519.314</v>
      </c>
      <c r="H86" s="277"/>
      <c r="I86" s="294">
        <f>+I103+I122+I129-I134</f>
        <v>-792.305</v>
      </c>
      <c r="J86" s="293">
        <f>+J103+J122+J129-J134</f>
        <v>-1990.056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16133.442000000006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1558.325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1558.325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490.741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490.741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2049.066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2049.066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21.915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21.915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21.915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21.915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2070.9809999999998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2070.9809999999998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84.976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-3967.268</v>
      </c>
      <c r="M118" s="228">
        <f>+'Cash-Flow-2023-Leva'!M118/1000</f>
        <v>-39672.013</v>
      </c>
      <c r="N118" s="463"/>
      <c r="O118" s="366">
        <f>+F118+I118+L118</f>
        <v>-3882.292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87.252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-3967.268</v>
      </c>
      <c r="M120" s="261">
        <f>+SUM(M118:M119)</f>
        <v>-39672.013</v>
      </c>
      <c r="N120" s="463"/>
      <c r="O120" s="381">
        <f>+SUM(O118:O119)</f>
        <v>-3880.016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87.252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-3967.268</v>
      </c>
      <c r="M122" s="272">
        <f>+M108+M112+M116+M120</f>
        <v>-39672.013</v>
      </c>
      <c r="N122" s="463"/>
      <c r="O122" s="385">
        <f>+O108+O112+O116+O120</f>
        <v>-3880.016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15348.554</v>
      </c>
      <c r="G125" s="267">
        <f>+'Cash-Flow-2023-Leva'!G125/1000</f>
        <v>50028.407</v>
      </c>
      <c r="H125" s="277"/>
      <c r="I125" s="268">
        <f>+'Cash-Flow-2023-Leva'!I125/1000</f>
        <v>-795.684</v>
      </c>
      <c r="J125" s="267">
        <f>+'Cash-Flow-2023-Leva'!J125/1000</f>
        <v>-1980.564</v>
      </c>
      <c r="K125" s="277"/>
      <c r="L125" s="268">
        <f>+'Cash-Flow-2023-Leva'!L125/1000</f>
        <v>-3.259</v>
      </c>
      <c r="M125" s="267">
        <f>+'Cash-Flow-2023-Leva'!M125/1000</f>
        <v>0.573</v>
      </c>
      <c r="N125" s="463"/>
      <c r="O125" s="361">
        <f t="shared" si="8"/>
        <v>14549.611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-324.332</v>
      </c>
      <c r="G126" s="267">
        <f>+'Cash-Flow-2023-Leva'!G126/1000</f>
        <v>9.492</v>
      </c>
      <c r="H126" s="277"/>
      <c r="I126" s="268">
        <f>+'Cash-Flow-2023-Leva'!I126/1000</f>
        <v>3.379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-320.953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15024.222</v>
      </c>
      <c r="G129" s="270">
        <f>+SUM(G124,G125,G126,G128)</f>
        <v>50037.899</v>
      </c>
      <c r="H129" s="277"/>
      <c r="I129" s="271">
        <f>+SUM(I124,I125,I126,I128)</f>
        <v>-792.305</v>
      </c>
      <c r="J129" s="270">
        <f>+SUM(J124,J125,J126,J128)</f>
        <v>-1990.056</v>
      </c>
      <c r="K129" s="277"/>
      <c r="L129" s="271">
        <f>+SUM(L124,L125,L126,L128)</f>
        <v>-3.259</v>
      </c>
      <c r="M129" s="270">
        <f>+SUM(M124,M125,M126,M128)</f>
        <v>0.573</v>
      </c>
      <c r="N129" s="463"/>
      <c r="O129" s="386">
        <f>+SUM(O124,O125,O126,O128)</f>
        <v>14228.658000000001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103043.245</v>
      </c>
      <c r="M131" s="255">
        <f>+'Cash-Flow-2023-Leva'!M131/1000</f>
        <v>142714.426</v>
      </c>
      <c r="N131" s="463"/>
      <c r="O131" s="365">
        <f aca="true" t="shared" si="9" ref="O131:P133">+F131+I131+L131</f>
        <v>105534.587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-1.027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-0.106</v>
      </c>
      <c r="M132" s="267">
        <f>+'Cash-Flow-2023-Leva'!M132/1000</f>
        <v>0.258</v>
      </c>
      <c r="N132" s="463"/>
      <c r="O132" s="361">
        <f t="shared" si="9"/>
        <v>-1.133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2747.023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99072.612</v>
      </c>
      <c r="M133" s="267">
        <f>+'Cash-Flow-2023-Leva'!M133/1000</f>
        <v>103043.244</v>
      </c>
      <c r="N133" s="463"/>
      <c r="O133" s="361">
        <f t="shared" si="9"/>
        <v>101819.635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256.708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-3970.5270000000014</v>
      </c>
      <c r="M134" s="275">
        <f>+M133-M131-M132</f>
        <v>-39671.44</v>
      </c>
      <c r="N134" s="463"/>
      <c r="O134" s="394">
        <f>+O133-O131-O132</f>
        <v>-3713.819000000005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4"/>
      <c r="D135" s="804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256.708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-3970.5270000000014</v>
      </c>
      <c r="M142" s="537">
        <f>+M134+M140</f>
        <v>-39671.44</v>
      </c>
      <c r="N142" s="463"/>
      <c r="O142" s="549">
        <f>+O134+O140</f>
        <v>-3713.819000000005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17112023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2023-12-20T08:32:19Z</dcterms:modified>
  <cp:category/>
  <cp:version/>
  <cp:contentType/>
  <cp:contentStatus/>
</cp:coreProperties>
</file>