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0800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<sst xmlns="http://schemas.openxmlformats.org/spreadsheetml/2006/main" count="673" uniqueCount="463">
  <si>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</si>
  <si>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</si>
  <si>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</si>
  <si>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</si>
  <si>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</si>
  <si>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</si>
  <si>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</si>
  <si>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</si>
  <si>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</si>
  <si>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</si>
  <si>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</si>
  <si>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</si>
  <si>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</si>
  <si>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</si>
  <si>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</si>
  <si>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</si>
  <si>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</si>
  <si>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</si>
  <si>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</si>
  <si>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</si>
  <si>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</si>
  <si>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</si>
  <si>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</si>
  <si>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</si>
  <si>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</si>
  <si>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</si>
  <si>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</si>
  <si>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</si>
  <si>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</si>
  <si>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</si>
  <si>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</si>
  <si>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</si>
  <si>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</si>
  <si>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</si>
  <si>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</si>
  <si>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</si>
  <si>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</si>
  <si>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</si>
  <si>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</si>
  <si>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</si>
  <si>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</si>
  <si>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</si>
  <si>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</si>
  <si>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</si>
  <si>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</si>
  <si>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</si>
  <si>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</si>
  <si>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</si>
  <si>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</si>
  <si>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</si>
  <si>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</si>
  <si>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</si>
  <si>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</si>
  <si>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</si>
  <si>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</si>
  <si>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</si>
  <si>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</si>
  <si>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</si>
  <si>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</si>
  <si>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</si>
  <si>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</si>
  <si>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</si>
  <si>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</si>
  <si>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</si>
  <si>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</si>
  <si>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</si>
  <si>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</si>
  <si>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</si>
  <si>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</si>
  <si>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</si>
  <si>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</si>
  <si>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</si>
  <si>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</si>
  <si>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</si>
  <si>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</si>
  <si>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</si>
  <si>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</si>
  <si>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</si>
  <si>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</si>
  <si>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</si>
  <si>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</si>
  <si>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</si>
  <si>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</si>
  <si>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</si>
  <si>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</si>
  <si>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</si>
  <si>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</si>
  <si>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</si>
  <si>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</si>
  <si>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</si>
  <si>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</si>
  <si>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</si>
  <si>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</si>
  <si>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</si>
  <si>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</si>
  <si>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</si>
  <si>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</si>
  <si>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</si>
  <si>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</si>
  <si>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</si>
  <si>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</si>
  <si>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</si>
  <si>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</si>
  <si>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</si>
  <si>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</si>
  <si>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</si>
  <si>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</si>
  <si>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</si>
  <si>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</si>
  <si>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</si>
  <si>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</si>
  <si>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</si>
  <si>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</si>
  <si>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</si>
  <si>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</si>
  <si>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</si>
  <si>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</si>
  <si>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</si>
  <si>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</si>
  <si>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</si>
  <si>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</si>
  <si>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</si>
  <si>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</si>
  <si>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</si>
  <si>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</si>
  <si>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</si>
  <si>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</si>
  <si>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</si>
  <si>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</si>
  <si>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</si>
  <si>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</si>
  <si>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</si>
  <si>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</si>
  <si>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</si>
  <si>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</si>
  <si>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</si>
  <si>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</si>
  <si>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</si>
  <si>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</si>
  <si>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</si>
  <si>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</si>
  <si>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</si>
  <si>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</si>
  <si>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</si>
  <si>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</si>
  <si>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</si>
  <si>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</si>
  <si>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</si>
  <si>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</si>
  <si>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</si>
  <si>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</si>
  <si>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</si>
  <si>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</si>
  <si>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</si>
  <si>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</si>
  <si>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</si>
  <si>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</si>
  <si>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</si>
  <si>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</si>
  <si>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</si>
  <si>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</si>
  <si>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</si>
  <si>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</si>
  <si>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</si>
  <si>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</si>
  <si>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</si>
  <si>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</si>
  <si>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</si>
  <si>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</si>
  <si>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</si>
  <si>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</si>
  <si>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</si>
  <si>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</si>
  <si>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</si>
  <si>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</si>
  <si>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</si>
  <si>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</si>
  <si>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</si>
  <si>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</si>
  <si>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</si>
  <si>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</si>
  <si>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</si>
  <si>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</si>
  <si>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</si>
  <si>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</si>
  <si>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</si>
  <si>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</si>
  <si>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</si>
  <si>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</si>
  <si>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</si>
  <si>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</si>
  <si>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</si>
  <si>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</si>
  <si>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</si>
  <si>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</si>
  <si>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</si>
  <si>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</si>
  <si>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</si>
  <si>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</si>
  <si>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</si>
  <si>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</si>
  <si>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</si>
  <si>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</si>
  <si>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</si>
  <si>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</si>
  <si>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</si>
  <si>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</si>
  <si>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</si>
  <si>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</si>
  <si>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</si>
  <si>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</si>
  <si>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</si>
  <si>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</si>
  <si>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</si>
  <si>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</si>
  <si>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</si>
  <si>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</si>
  <si>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</si>
  <si>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</si>
  <si>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</si>
  <si>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</si>
  <si>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</si>
  <si>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</si>
  <si>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</si>
  <si>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</si>
  <si>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</si>
  <si>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</si>
  <si>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</si>
  <si>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</si>
  <si>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</si>
  <si>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</si>
  <si>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</si>
  <si>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</si>
  <si>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</si>
  <si>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</si>
  <si>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</si>
  <si>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</si>
  <si>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</si>
  <si>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</si>
  <si>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</si>
  <si>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</si>
  <si>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</si>
  <si>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</si>
  <si>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</si>
  <si>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</si>
  <si>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</si>
  <si>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</si>
  <si>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</si>
  <si>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</si>
  <si>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</si>
  <si>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</si>
  <si>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</si>
  <si>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</si>
  <si>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</si>
  <si>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</si>
  <si>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</si>
  <si>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</si>
  <si>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</si>
  <si>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</si>
  <si>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</si>
  <si>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</si>
  <si>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</si>
  <si>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</si>
  <si>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</si>
  <si>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</si>
  <si>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</si>
  <si>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</si>
  <si>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</si>
  <si>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</si>
  <si>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</si>
  <si>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</si>
  <si>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</si>
  <si>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</si>
  <si>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</si>
  <si>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</si>
  <si>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</si>
  <si>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</si>
  <si>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</si>
  <si>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</si>
  <si>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</si>
  <si>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</si>
  <si>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</si>
  <si>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</si>
  <si>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</si>
  <si>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</si>
  <si>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</si>
  <si>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</si>
  <si>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</si>
  <si>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</si>
  <si>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</si>
  <si>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</si>
  <si>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</si>
  <si>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</si>
  <si>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</si>
  <si>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</si>
  <si>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</si>
  <si>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</si>
  <si>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</si>
  <si>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</si>
  <si>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</si>
  <si>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</si>
  <si>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</si>
  <si>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</si>
  <si>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</si>
  <si>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</si>
  <si>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</si>
  <si>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</si>
  <si>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</si>
  <si>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</si>
  <si>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</si>
  <si>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</si>
  <si>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</si>
  <si>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</si>
  <si>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</si>
  <si>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</si>
  <si>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</si>
  <si>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</si>
  <si>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</si>
  <si>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</si>
  <si>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</si>
  <si>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</si>
  <si>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</si>
  <si>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</si>
  <si>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</si>
  <si>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</si>
  <si>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</si>
  <si>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</si>
  <si>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</si>
  <si>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</si>
  <si>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</si>
  <si>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</si>
  <si>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</si>
  <si>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</si>
  <si>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</si>
  <si>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</si>
  <si>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</si>
  <si>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</si>
  <si>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</si>
  <si>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</si>
  <si>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</si>
  <si>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</si>
  <si>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</si>
  <si>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</si>
  <si>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</si>
  <si>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</si>
  <si>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</si>
  <si>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</si>
  <si>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</si>
  <si>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</si>
  <si>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</si>
  <si>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</si>
  <si>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</si>
  <si>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</si>
  <si>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</si>
  <si>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</si>
  <si>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</si>
  <si>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</si>
  <si>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</si>
  <si>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</si>
  <si>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</si>
  <si>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</si>
  <si>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</si>
  <si>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</si>
  <si>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</si>
  <si>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</si>
  <si>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</si>
  <si>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</si>
  <si>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</si>
  <si>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</si>
  <si>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</si>
  <si>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</si>
  <si>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</si>
  <si>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</si>
  <si>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</si>
  <si>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</si>
  <si>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</si>
  <si>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</si>
  <si>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</si>
  <si>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</si>
  <si>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</si>
  <si>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</si>
  <si>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</si>
  <si>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</si>
  <si>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</si>
  <si>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</si>
  <si>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</si>
  <si>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</si>
  <si>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</si>
  <si>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</si>
  <si>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</si>
  <si>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</si>
  <si>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</si>
  <si>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</si>
  <si>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</si>
  <si>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</si>
  <si>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</si>
  <si>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</si>
  <si>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</si>
  <si>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</si>
  <si>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</si>
  <si>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</si>
  <si>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</si>
  <si>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</si>
  <si>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</si>
  <si>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</si>
  <si>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</si>
  <si>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</si>
  <si>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</si>
  <si>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</si>
  <si>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</si>
  <si>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</si>
  <si>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</si>
  <si>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</si>
  <si>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</si>
  <si>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</si>
  <si>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</si>
  <si>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</si>
  <si>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</si>
  <si>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</si>
  <si>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</si>
  <si>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</si>
  <si>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</si>
  <si>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</si>
  <si>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</si>
  <si>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</si>
  <si>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</si>
  <si>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</si>
  <si>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</si>
  <si>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</si>
  <si>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</si>
  <si>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</si>
  <si>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</si>
  <si>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</si>
  <si>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</si>
  <si>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</si>
  <si>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</si>
  <si>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</si>
  <si>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</si>
  <si>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</si>
  <si>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</si>
  <si>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</si>
  <si>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</si>
  <si>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</si>
  <si>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</si>
  <si>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</si>
  <si>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</si>
  <si>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</si>
  <si>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</si>
  <si>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</si>
  <si>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</si>
  <si>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</si>
  <si>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</si>
  <si>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</si>
  <si>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</si>
  <si>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</si>
  <si>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</si>
  <si>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</si>
  <si>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</si>
  <si>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</si>
  <si>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МАРИЯ БЕЛОМОРОВА</t>
  </si>
  <si>
    <t>ПРБ МИНИСТЕРСТВО НА ЗДРАВЕОПАЗВАНЕТО</t>
  </si>
  <si>
    <t>гр. София, пл."Света Неделя"№ 5</t>
  </si>
  <si>
    <t>Д-Р АСЕН МЕДЖЕДИЕВ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</si>
</sst>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8" fillId="14" borderId="0" applyNumberFormat="0" applyBorder="0" applyAlignment="0" applyProtection="0"/>
    <xf numFmtId="0" fontId="138" fillId="15" borderId="0" applyNumberFormat="0" applyBorder="0" applyAlignment="0" applyProtection="0"/>
    <xf numFmtId="0" fontId="138" fillId="16" borderId="0" applyNumberFormat="0" applyBorder="0" applyAlignment="0" applyProtection="0"/>
    <xf numFmtId="0" fontId="138" fillId="17" borderId="0" applyNumberFormat="0" applyBorder="0" applyAlignment="0" applyProtection="0"/>
    <xf numFmtId="0" fontId="138" fillId="18" borderId="0" applyNumberFormat="0" applyBorder="0" applyAlignment="0" applyProtection="0"/>
    <xf numFmtId="0" fontId="138" fillId="19" borderId="0" applyNumberFormat="0" applyBorder="0" applyAlignment="0" applyProtection="0"/>
    <xf numFmtId="0" fontId="138" fillId="20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9" fillId="26" borderId="0" applyNumberFormat="0" applyBorder="0" applyAlignment="0" applyProtection="0"/>
    <xf numFmtId="0" fontId="140" fillId="27" borderId="1" applyNumberFormat="0" applyAlignment="0" applyProtection="0"/>
    <xf numFmtId="0" fontId="14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29" borderId="0" applyNumberFormat="0" applyBorder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5" applyNumberFormat="0" applyFill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30" borderId="1" applyNumberFormat="0" applyAlignment="0" applyProtection="0"/>
    <xf numFmtId="0" fontId="150" fillId="0" borderId="6" applyNumberFormat="0" applyFill="0" applyAlignment="0" applyProtection="0"/>
    <xf numFmtId="0" fontId="15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52" fillId="27" borderId="8" applyNumberFormat="0" applyAlignment="0" applyProtection="0"/>
    <xf numFmtId="9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9" applyNumberFormat="0" applyFill="0" applyAlignment="0" applyProtection="0"/>
    <xf numFmtId="0" fontId="155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6" fillId="32" borderId="0" xfId="62" applyFont="1" applyFill="1" applyAlignment="1" applyProtection="1">
      <alignment horizontal="right"/>
      <protection/>
    </xf>
    <xf numFmtId="0" fontId="157" fillId="32" borderId="0" xfId="62" applyFont="1" applyFill="1" applyBorder="1" applyAlignment="1" applyProtection="1">
      <alignment horizontal="center"/>
      <protection/>
    </xf>
    <xf numFmtId="176" fontId="158" fillId="32" borderId="0" xfId="65" applyNumberFormat="1" applyFont="1" applyFill="1" applyAlignment="1" applyProtection="1">
      <alignment/>
      <protection/>
    </xf>
    <xf numFmtId="0" fontId="159" fillId="32" borderId="0" xfId="57" applyFont="1" applyFill="1" applyAlignment="1" applyProtection="1" quotePrefix="1">
      <alignment/>
      <protection/>
    </xf>
    <xf numFmtId="0" fontId="158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1" fillId="37" borderId="0" xfId="57" applyFont="1" applyFill="1" applyProtection="1">
      <alignment/>
      <protection/>
    </xf>
    <xf numFmtId="0" fontId="22" fillId="37" borderId="0" xfId="57" applyFont="1" applyFill="1" applyBorder="1" applyAlignment="1">
      <alignment vertical="center"/>
      <protection/>
    </xf>
    <xf numFmtId="0" fontId="21" fillId="37" borderId="0" xfId="57" applyFont="1" applyFill="1" applyBorder="1" applyAlignment="1">
      <alignment vertical="center"/>
      <protection/>
    </xf>
    <xf numFmtId="0" fontId="21" fillId="37" borderId="0" xfId="57" applyFont="1" applyFill="1" applyBorder="1" applyAlignment="1" applyProtection="1">
      <alignment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4" fontId="21" fillId="37" borderId="0" xfId="57" applyNumberFormat="1" applyFont="1" applyFill="1" applyAlignment="1" applyProtection="1">
      <alignment vertical="center"/>
      <protection/>
    </xf>
    <xf numFmtId="4" fontId="21" fillId="0" borderId="0" xfId="57" applyNumberFormat="1" applyFont="1" applyFill="1" applyAlignment="1" applyProtection="1">
      <alignment vertical="center"/>
      <protection/>
    </xf>
    <xf numFmtId="0" fontId="21" fillId="0" borderId="0" xfId="57" applyFont="1" applyFill="1" applyBorder="1" applyAlignment="1" applyProtection="1">
      <alignment vertical="center"/>
      <protection/>
    </xf>
    <xf numFmtId="0" fontId="21" fillId="0" borderId="0" xfId="57" applyFont="1" applyFill="1" applyProtection="1">
      <alignment/>
      <protection/>
    </xf>
    <xf numFmtId="0" fontId="22" fillId="0" borderId="0" xfId="57" applyFont="1" applyFill="1" applyBorder="1" applyAlignment="1" applyProtection="1">
      <alignment horizontal="center" vertical="center"/>
      <protection/>
    </xf>
    <xf numFmtId="0" fontId="21" fillId="37" borderId="0" xfId="57" applyFont="1" applyFill="1">
      <alignment/>
      <protection/>
    </xf>
    <xf numFmtId="0" fontId="21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4" fillId="38" borderId="0" xfId="57" applyFont="1" applyFill="1" applyBorder="1">
      <alignment/>
      <protection/>
    </xf>
    <xf numFmtId="0" fontId="23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60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8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61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62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8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63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64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62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6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6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65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5" fillId="43" borderId="53" xfId="65" applyNumberFormat="1" applyFont="1" applyFill="1" applyBorder="1" applyAlignment="1" applyProtection="1">
      <alignment/>
      <protection/>
    </xf>
    <xf numFmtId="38" fontId="25" fillId="43" borderId="54" xfId="65" applyNumberFormat="1" applyFont="1" applyFill="1" applyBorder="1" applyAlignment="1" applyProtection="1">
      <alignment/>
      <protection/>
    </xf>
    <xf numFmtId="38" fontId="25" fillId="43" borderId="47" xfId="65" applyNumberFormat="1" applyFont="1" applyFill="1" applyBorder="1" applyAlignment="1" applyProtection="1">
      <alignment/>
      <protection/>
    </xf>
    <xf numFmtId="38" fontId="25" fillId="43" borderId="48" xfId="65" applyNumberFormat="1" applyFont="1" applyFill="1" applyBorder="1" applyAlignment="1" applyProtection="1">
      <alignment/>
      <protection/>
    </xf>
    <xf numFmtId="38" fontId="25" fillId="43" borderId="49" xfId="65" applyNumberFormat="1" applyFont="1" applyFill="1" applyBorder="1" applyAlignment="1" applyProtection="1">
      <alignment/>
      <protection/>
    </xf>
    <xf numFmtId="38" fontId="25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5" fillId="43" borderId="43" xfId="65" applyNumberFormat="1" applyFont="1" applyFill="1" applyBorder="1" applyAlignment="1" applyProtection="1">
      <alignment/>
      <protection/>
    </xf>
    <xf numFmtId="38" fontId="25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6" fillId="33" borderId="27" xfId="0" applyNumberFormat="1" applyFont="1" applyFill="1" applyBorder="1" applyAlignment="1" applyProtection="1">
      <alignment horizontal="center"/>
      <protection locked="0"/>
    </xf>
    <xf numFmtId="185" fontId="166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5" fillId="43" borderId="51" xfId="65" applyNumberFormat="1" applyFont="1" applyFill="1" applyBorder="1" applyAlignment="1" applyProtection="1">
      <alignment/>
      <protection/>
    </xf>
    <xf numFmtId="38" fontId="25" fillId="43" borderId="59" xfId="65" applyNumberFormat="1" applyFont="1" applyFill="1" applyBorder="1" applyAlignment="1" applyProtection="1">
      <alignment/>
      <protection/>
    </xf>
    <xf numFmtId="38" fontId="25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5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7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6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6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6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6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6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6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6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6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8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5" fillId="43" borderId="42" xfId="65" applyNumberFormat="1" applyFont="1" applyFill="1" applyBorder="1" applyAlignment="1" applyProtection="1">
      <alignment horizontal="center"/>
      <protection/>
    </xf>
    <xf numFmtId="38" fontId="25" fillId="43" borderId="43" xfId="65" applyNumberFormat="1" applyFont="1" applyFill="1" applyBorder="1" applyAlignment="1" applyProtection="1">
      <alignment horizontal="center"/>
      <protection/>
    </xf>
    <xf numFmtId="38" fontId="25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9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7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63" fillId="39" borderId="102" xfId="0" applyNumberFormat="1" applyFont="1" applyFill="1" applyBorder="1" applyAlignment="1" applyProtection="1" quotePrefix="1">
      <alignment horizontal="center"/>
      <protection/>
    </xf>
    <xf numFmtId="193" fontId="169" fillId="41" borderId="102" xfId="0" applyNumberFormat="1" applyFont="1" applyFill="1" applyBorder="1" applyAlignment="1" applyProtection="1" quotePrefix="1">
      <alignment horizontal="center"/>
      <protection/>
    </xf>
    <xf numFmtId="193" fontId="170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26" fillId="38" borderId="105" xfId="0" applyNumberFormat="1" applyFont="1" applyFill="1" applyBorder="1" applyAlignment="1" applyProtection="1">
      <alignment horizontal="center"/>
      <protection/>
    </xf>
    <xf numFmtId="184" fontId="171" fillId="38" borderId="104" xfId="0" applyNumberFormat="1" applyFont="1" applyFill="1" applyBorder="1" applyAlignment="1" applyProtection="1">
      <alignment horizontal="center"/>
      <protection/>
    </xf>
    <xf numFmtId="184" fontId="171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6" fillId="33" borderId="56" xfId="0" applyNumberFormat="1" applyFont="1" applyFill="1" applyBorder="1" applyAlignment="1" applyProtection="1">
      <alignment/>
      <protection/>
    </xf>
    <xf numFmtId="0" fontId="56" fillId="33" borderId="56" xfId="0" applyFont="1" applyFill="1" applyBorder="1" applyAlignment="1" applyProtection="1">
      <alignment/>
      <protection/>
    </xf>
    <xf numFmtId="176" fontId="172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6" fillId="43" borderId="108" xfId="0" applyNumberFormat="1" applyFont="1" applyFill="1" applyBorder="1" applyAlignment="1" applyProtection="1">
      <alignment/>
      <protection/>
    </xf>
    <xf numFmtId="186" fontId="36" fillId="43" borderId="92" xfId="0" applyNumberFormat="1" applyFont="1" applyFill="1" applyBorder="1" applyAlignment="1" applyProtection="1">
      <alignment/>
      <protection/>
    </xf>
    <xf numFmtId="186" fontId="36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6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73" fillId="48" borderId="0" xfId="61" applyFont="1" applyFill="1" applyBorder="1" applyAlignment="1" applyProtection="1">
      <alignment horizontal="center"/>
      <protection/>
    </xf>
    <xf numFmtId="176" fontId="172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6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4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4" fillId="35" borderId="0" xfId="64" applyFont="1" applyFill="1" applyBorder="1" applyAlignment="1" applyProtection="1">
      <alignment/>
      <protection/>
    </xf>
    <xf numFmtId="0" fontId="173" fillId="33" borderId="0" xfId="61" applyFont="1" applyFill="1" applyBorder="1" applyAlignment="1" applyProtection="1">
      <alignment horizontal="center"/>
      <protection/>
    </xf>
    <xf numFmtId="174" fontId="60" fillId="50" borderId="27" xfId="64" applyNumberFormat="1" applyFont="1" applyFill="1" applyBorder="1" applyAlignment="1" applyProtection="1">
      <alignment horizontal="center" vertical="center"/>
      <protection locked="0"/>
    </xf>
    <xf numFmtId="176" fontId="159" fillId="32" borderId="0" xfId="65" applyNumberFormat="1" applyFont="1" applyFill="1" applyAlignment="1" applyProtection="1">
      <alignment/>
      <protection/>
    </xf>
    <xf numFmtId="0" fontId="158" fillId="35" borderId="0" xfId="64" applyFont="1" applyFill="1" applyBorder="1" applyProtection="1">
      <alignment/>
      <protection/>
    </xf>
    <xf numFmtId="0" fontId="175" fillId="35" borderId="0" xfId="64" applyFont="1" applyFill="1" applyBorder="1" applyProtection="1">
      <alignment/>
      <protection/>
    </xf>
    <xf numFmtId="0" fontId="175" fillId="35" borderId="0" xfId="64" applyFont="1" applyFill="1" applyProtection="1">
      <alignment/>
      <protection/>
    </xf>
    <xf numFmtId="182" fontId="176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9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9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62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7" fillId="33" borderId="27" xfId="64" applyNumberFormat="1" applyFont="1" applyFill="1" applyBorder="1" applyAlignment="1" applyProtection="1">
      <alignment horizontal="center" vertical="center"/>
      <protection/>
    </xf>
    <xf numFmtId="174" fontId="178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8" fillId="33" borderId="60" xfId="65" applyNumberFormat="1" applyFont="1" applyFill="1" applyBorder="1" applyAlignment="1" applyProtection="1">
      <alignment/>
      <protection/>
    </xf>
    <xf numFmtId="38" fontId="18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9" fillId="33" borderId="71" xfId="0" applyNumberFormat="1" applyFont="1" applyFill="1" applyBorder="1" applyAlignment="1" applyProtection="1" quotePrefix="1">
      <alignment/>
      <protection/>
    </xf>
    <xf numFmtId="176" fontId="180" fillId="33" borderId="71" xfId="0" applyNumberFormat="1" applyFont="1" applyFill="1" applyBorder="1" applyAlignment="1" applyProtection="1" quotePrefix="1">
      <alignment/>
      <protection/>
    </xf>
    <xf numFmtId="176" fontId="179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9" fillId="33" borderId="116" xfId="0" applyNumberFormat="1" applyFont="1" applyFill="1" applyBorder="1" applyAlignment="1" applyProtection="1" quotePrefix="1">
      <alignment/>
      <protection/>
    </xf>
    <xf numFmtId="176" fontId="179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9" fillId="32" borderId="116" xfId="0" applyNumberFormat="1" applyFont="1" applyFill="1" applyBorder="1" applyAlignment="1" applyProtection="1" quotePrefix="1">
      <alignment/>
      <protection/>
    </xf>
    <xf numFmtId="176" fontId="180" fillId="32" borderId="32" xfId="0" applyNumberFormat="1" applyFont="1" applyFill="1" applyBorder="1" applyAlignment="1" applyProtection="1" quotePrefix="1">
      <alignment/>
      <protection/>
    </xf>
    <xf numFmtId="176" fontId="179" fillId="33" borderId="86" xfId="0" applyNumberFormat="1" applyFont="1" applyFill="1" applyBorder="1" applyAlignment="1" applyProtection="1" quotePrefix="1">
      <alignment/>
      <protection/>
    </xf>
    <xf numFmtId="176" fontId="180" fillId="33" borderId="87" xfId="0" applyNumberFormat="1" applyFont="1" applyFill="1" applyBorder="1" applyAlignment="1" applyProtection="1" quotePrefix="1">
      <alignment/>
      <protection/>
    </xf>
    <xf numFmtId="176" fontId="180" fillId="33" borderId="32" xfId="0" applyNumberFormat="1" applyFont="1" applyFill="1" applyBorder="1" applyAlignment="1" applyProtection="1" quotePrefix="1">
      <alignment/>
      <protection/>
    </xf>
    <xf numFmtId="0" fontId="37" fillId="33" borderId="117" xfId="64" applyFont="1" applyFill="1" applyBorder="1" applyProtection="1">
      <alignment/>
      <protection/>
    </xf>
    <xf numFmtId="0" fontId="37" fillId="33" borderId="43" xfId="64" applyFont="1" applyFill="1" applyBorder="1" applyProtection="1">
      <alignment/>
      <protection/>
    </xf>
    <xf numFmtId="0" fontId="37" fillId="33" borderId="29" xfId="64" applyFont="1" applyFill="1" applyBorder="1" applyProtection="1">
      <alignment/>
      <protection/>
    </xf>
    <xf numFmtId="184" fontId="41" fillId="51" borderId="118" xfId="0" applyNumberFormat="1" applyFont="1" applyFill="1" applyBorder="1" applyAlignment="1" applyProtection="1">
      <alignment horizontal="center"/>
      <protection/>
    </xf>
    <xf numFmtId="184" fontId="42" fillId="42" borderId="118" xfId="0" applyNumberFormat="1" applyFont="1" applyFill="1" applyBorder="1" applyAlignment="1" applyProtection="1">
      <alignment horizontal="center"/>
      <protection/>
    </xf>
    <xf numFmtId="184" fontId="181" fillId="51" borderId="118" xfId="0" applyNumberFormat="1" applyFont="1" applyFill="1" applyBorder="1" applyAlignment="1" applyProtection="1">
      <alignment horizontal="center"/>
      <protection/>
    </xf>
    <xf numFmtId="184" fontId="182" fillId="42" borderId="118" xfId="0" applyNumberFormat="1" applyFont="1" applyFill="1" applyBorder="1" applyAlignment="1" applyProtection="1">
      <alignment horizontal="center"/>
      <protection/>
    </xf>
    <xf numFmtId="184" fontId="41" fillId="52" borderId="118" xfId="0" applyNumberFormat="1" applyFont="1" applyFill="1" applyBorder="1" applyAlignment="1" applyProtection="1">
      <alignment horizontal="center"/>
      <protection/>
    </xf>
    <xf numFmtId="184" fontId="42" fillId="52" borderId="118" xfId="0" applyNumberFormat="1" applyFont="1" applyFill="1" applyBorder="1" applyAlignment="1" applyProtection="1">
      <alignment horizontal="center"/>
      <protection/>
    </xf>
    <xf numFmtId="184" fontId="183" fillId="52" borderId="118" xfId="0" applyNumberFormat="1" applyFont="1" applyFill="1" applyBorder="1" applyAlignment="1" applyProtection="1">
      <alignment horizontal="center"/>
      <protection/>
    </xf>
    <xf numFmtId="184" fontId="182" fillId="52" borderId="118" xfId="0" applyNumberFormat="1" applyFont="1" applyFill="1" applyBorder="1" applyAlignment="1" applyProtection="1">
      <alignment horizontal="center"/>
      <protection/>
    </xf>
    <xf numFmtId="184" fontId="41" fillId="40" borderId="118" xfId="0" applyNumberFormat="1" applyFont="1" applyFill="1" applyBorder="1" applyAlignment="1" applyProtection="1">
      <alignment horizontal="center"/>
      <protection/>
    </xf>
    <xf numFmtId="184" fontId="42" fillId="40" borderId="118" xfId="0" applyNumberFormat="1" applyFont="1" applyFill="1" applyBorder="1" applyAlignment="1" applyProtection="1">
      <alignment horizontal="center"/>
      <protection/>
    </xf>
    <xf numFmtId="184" fontId="184" fillId="40" borderId="118" xfId="0" applyNumberFormat="1" applyFont="1" applyFill="1" applyBorder="1" applyAlignment="1" applyProtection="1">
      <alignment horizontal="center"/>
      <protection/>
    </xf>
    <xf numFmtId="184" fontId="185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26" fillId="38" borderId="120" xfId="0" applyNumberFormat="1" applyFont="1" applyFill="1" applyBorder="1" applyAlignment="1" applyProtection="1">
      <alignment horizontal="center"/>
      <protection/>
    </xf>
    <xf numFmtId="184" fontId="171" fillId="38" borderId="119" xfId="0" applyNumberFormat="1" applyFont="1" applyFill="1" applyBorder="1" applyAlignment="1" applyProtection="1">
      <alignment horizontal="center"/>
      <protection/>
    </xf>
    <xf numFmtId="184" fontId="171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6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6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6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6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6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6" fillId="43" borderId="10" xfId="0" applyNumberFormat="1" applyFont="1" applyFill="1" applyBorder="1" applyAlignment="1" applyProtection="1">
      <alignment/>
      <protection locked="0"/>
    </xf>
    <xf numFmtId="176" fontId="172" fillId="32" borderId="0" xfId="0" applyNumberFormat="1" applyFont="1" applyFill="1" applyBorder="1" applyAlignment="1" applyProtection="1" quotePrefix="1">
      <alignment horizontal="center"/>
      <protection/>
    </xf>
    <xf numFmtId="176" fontId="172" fillId="33" borderId="0" xfId="0" applyNumberFormat="1" applyFont="1" applyFill="1" applyBorder="1" applyAlignment="1" applyProtection="1" quotePrefix="1">
      <alignment horizontal="center"/>
      <protection/>
    </xf>
    <xf numFmtId="0" fontId="173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8" fillId="38" borderId="0" xfId="57" applyFont="1" applyFill="1" applyBorder="1" quotePrefix="1">
      <alignment/>
      <protection/>
    </xf>
    <xf numFmtId="197" fontId="25" fillId="33" borderId="0" xfId="58" applyNumberFormat="1" applyFont="1" applyFill="1" applyBorder="1" applyAlignment="1">
      <alignment/>
      <protection/>
    </xf>
    <xf numFmtId="0" fontId="17" fillId="38" borderId="13" xfId="57" applyFont="1" applyFill="1" applyBorder="1">
      <alignment/>
      <protection/>
    </xf>
    <xf numFmtId="202" fontId="25" fillId="33" borderId="0" xfId="57" applyNumberFormat="1" applyFont="1" applyFill="1" applyBorder="1" applyAlignment="1">
      <alignment horizontal="center"/>
      <protection/>
    </xf>
    <xf numFmtId="0" fontId="158" fillId="32" borderId="68" xfId="57" applyFont="1" applyFill="1" applyBorder="1" quotePrefix="1">
      <alignment/>
      <protection/>
    </xf>
    <xf numFmtId="0" fontId="158" fillId="32" borderId="19" xfId="57" applyFont="1" applyFill="1" applyBorder="1" quotePrefix="1">
      <alignment/>
      <protection/>
    </xf>
    <xf numFmtId="199" fontId="25" fillId="32" borderId="69" xfId="58" applyNumberFormat="1" applyFont="1" applyFill="1" applyBorder="1" applyAlignment="1">
      <alignment/>
      <protection/>
    </xf>
    <xf numFmtId="0" fontId="158" fillId="32" borderId="17" xfId="57" applyFont="1" applyFill="1" applyBorder="1" quotePrefix="1">
      <alignment/>
      <protection/>
    </xf>
    <xf numFmtId="0" fontId="158" fillId="32" borderId="0" xfId="57" applyFont="1" applyFill="1" applyBorder="1" quotePrefix="1">
      <alignment/>
      <protection/>
    </xf>
    <xf numFmtId="199" fontId="25" fillId="32" borderId="18" xfId="58" applyNumberFormat="1" applyFont="1" applyFill="1" applyBorder="1" applyAlignment="1">
      <alignment/>
      <protection/>
    </xf>
    <xf numFmtId="0" fontId="158" fillId="32" borderId="26" xfId="57" applyFont="1" applyFill="1" applyBorder="1" quotePrefix="1">
      <alignment/>
      <protection/>
    </xf>
    <xf numFmtId="0" fontId="158" fillId="32" borderId="20" xfId="57" applyFont="1" applyFill="1" applyBorder="1" quotePrefix="1">
      <alignment/>
      <protection/>
    </xf>
    <xf numFmtId="199" fontId="25" fillId="32" borderId="21" xfId="58" applyNumberFormat="1" applyFont="1" applyFill="1" applyBorder="1" applyAlignment="1">
      <alignment/>
      <protection/>
    </xf>
    <xf numFmtId="0" fontId="158" fillId="45" borderId="68" xfId="57" applyFont="1" applyFill="1" applyBorder="1" quotePrefix="1">
      <alignment/>
      <protection/>
    </xf>
    <xf numFmtId="0" fontId="158" fillId="45" borderId="19" xfId="57" applyFont="1" applyFill="1" applyBorder="1" quotePrefix="1">
      <alignment/>
      <protection/>
    </xf>
    <xf numFmtId="199" fontId="25" fillId="45" borderId="69" xfId="58" applyNumberFormat="1" applyFont="1" applyFill="1" applyBorder="1" applyAlignment="1">
      <alignment/>
      <protection/>
    </xf>
    <xf numFmtId="0" fontId="158" fillId="45" borderId="17" xfId="57" applyFont="1" applyFill="1" applyBorder="1" quotePrefix="1">
      <alignment/>
      <protection/>
    </xf>
    <xf numFmtId="0" fontId="158" fillId="45" borderId="0" xfId="57" applyFont="1" applyFill="1" applyBorder="1" quotePrefix="1">
      <alignment/>
      <protection/>
    </xf>
    <xf numFmtId="199" fontId="25" fillId="45" borderId="18" xfId="58" applyNumberFormat="1" applyFont="1" applyFill="1" applyBorder="1" applyAlignment="1">
      <alignment/>
      <protection/>
    </xf>
    <xf numFmtId="0" fontId="158" fillId="45" borderId="26" xfId="57" applyFont="1" applyFill="1" applyBorder="1" quotePrefix="1">
      <alignment/>
      <protection/>
    </xf>
    <xf numFmtId="0" fontId="158" fillId="45" borderId="20" xfId="57" applyFont="1" applyFill="1" applyBorder="1" quotePrefix="1">
      <alignment/>
      <protection/>
    </xf>
    <xf numFmtId="199" fontId="25" fillId="45" borderId="21" xfId="58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7" fillId="39" borderId="27" xfId="0" applyNumberFormat="1" applyFont="1" applyFill="1" applyBorder="1" applyAlignment="1" applyProtection="1">
      <alignment horizontal="center"/>
      <protection/>
    </xf>
    <xf numFmtId="182" fontId="188" fillId="39" borderId="27" xfId="0" applyNumberFormat="1" applyFont="1" applyFill="1" applyBorder="1" applyAlignment="1" applyProtection="1">
      <alignment horizontal="center"/>
      <protection/>
    </xf>
    <xf numFmtId="193" fontId="163" fillId="39" borderId="27" xfId="0" applyNumberFormat="1" applyFont="1" applyFill="1" applyBorder="1" applyAlignment="1" applyProtection="1" quotePrefix="1">
      <alignment horizontal="center"/>
      <protection/>
    </xf>
    <xf numFmtId="181" fontId="164" fillId="41" borderId="27" xfId="0" applyNumberFormat="1" applyFont="1" applyFill="1" applyBorder="1" applyAlignment="1" applyProtection="1" quotePrefix="1">
      <alignment horizontal="center"/>
      <protection/>
    </xf>
    <xf numFmtId="193" fontId="169" fillId="41" borderId="27" xfId="0" applyNumberFormat="1" applyFont="1" applyFill="1" applyBorder="1" applyAlignment="1" applyProtection="1" quotePrefix="1">
      <alignment horizontal="center"/>
      <protection/>
    </xf>
    <xf numFmtId="181" fontId="169" fillId="41" borderId="27" xfId="0" applyNumberFormat="1" applyFont="1" applyFill="1" applyBorder="1" applyAlignment="1" applyProtection="1" quotePrefix="1">
      <alignment horizontal="center"/>
      <protection/>
    </xf>
    <xf numFmtId="181" fontId="176" fillId="49" borderId="27" xfId="0" applyNumberFormat="1" applyFont="1" applyFill="1" applyBorder="1" applyAlignment="1" applyProtection="1" quotePrefix="1">
      <alignment horizontal="center"/>
      <protection/>
    </xf>
    <xf numFmtId="193" fontId="170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9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6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26" fillId="38" borderId="119" xfId="0" applyNumberFormat="1" applyFont="1" applyFill="1" applyBorder="1" applyAlignment="1" applyProtection="1">
      <alignment horizontal="center"/>
      <protection/>
    </xf>
    <xf numFmtId="212" fontId="25" fillId="33" borderId="0" xfId="58" applyNumberFormat="1" applyFont="1" applyFill="1" applyBorder="1" applyAlignment="1">
      <alignment/>
      <protection/>
    </xf>
    <xf numFmtId="179" fontId="25" fillId="33" borderId="0" xfId="57" applyNumberFormat="1" applyFont="1" applyFill="1" applyBorder="1" applyAlignment="1">
      <alignment/>
      <protection/>
    </xf>
    <xf numFmtId="181" fontId="25" fillId="33" borderId="0" xfId="57" applyNumberFormat="1" applyFont="1" applyFill="1" applyBorder="1" applyAlignment="1">
      <alignment/>
      <protection/>
    </xf>
    <xf numFmtId="181" fontId="25" fillId="32" borderId="0" xfId="57" applyNumberFormat="1" applyFont="1" applyFill="1" applyBorder="1" applyAlignment="1">
      <alignment horizontal="center"/>
      <protection/>
    </xf>
    <xf numFmtId="197" fontId="20" fillId="54" borderId="19" xfId="58" applyNumberFormat="1" applyFont="1" applyFill="1" applyBorder="1" applyAlignment="1">
      <alignment/>
      <protection/>
    </xf>
    <xf numFmtId="197" fontId="20" fillId="54" borderId="69" xfId="58" applyNumberFormat="1" applyFont="1" applyFill="1" applyBorder="1" applyAlignment="1">
      <alignment/>
      <protection/>
    </xf>
    <xf numFmtId="197" fontId="20" fillId="54" borderId="20" xfId="58" applyNumberFormat="1" applyFont="1" applyFill="1" applyBorder="1" applyAlignment="1">
      <alignment/>
      <protection/>
    </xf>
    <xf numFmtId="197" fontId="20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90" fillId="39" borderId="102" xfId="0" applyNumberFormat="1" applyFont="1" applyFill="1" applyBorder="1" applyAlignment="1" applyProtection="1" quotePrefix="1">
      <alignment horizontal="center"/>
      <protection/>
    </xf>
    <xf numFmtId="213" fontId="164" fillId="41" borderId="102" xfId="0" applyNumberFormat="1" applyFont="1" applyFill="1" applyBorder="1" applyAlignment="1" applyProtection="1" quotePrefix="1">
      <alignment horizontal="center"/>
      <protection/>
    </xf>
    <xf numFmtId="213" fontId="176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91" fillId="32" borderId="45" xfId="0" applyNumberFormat="1" applyFont="1" applyFill="1" applyBorder="1" applyAlignment="1" applyProtection="1">
      <alignment horizontal="center"/>
      <protection locked="0"/>
    </xf>
    <xf numFmtId="213" fontId="190" fillId="39" borderId="27" xfId="0" applyNumberFormat="1" applyFont="1" applyFill="1" applyBorder="1" applyAlignment="1" applyProtection="1">
      <alignment horizontal="center"/>
      <protection/>
    </xf>
    <xf numFmtId="213" fontId="164" fillId="41" borderId="27" xfId="0" applyNumberFormat="1" applyFont="1" applyFill="1" applyBorder="1" applyAlignment="1" applyProtection="1" quotePrefix="1">
      <alignment horizontal="center"/>
      <protection/>
    </xf>
    <xf numFmtId="213" fontId="176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92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8" fontId="72" fillId="32" borderId="0" xfId="57" applyNumberFormat="1" applyFont="1" applyFill="1" applyBorder="1" applyAlignment="1">
      <alignment horizontal="left"/>
      <protection/>
    </xf>
    <xf numFmtId="178" fontId="73" fillId="45" borderId="0" xfId="57" applyNumberFormat="1" applyFont="1" applyFill="1" applyBorder="1" applyAlignment="1">
      <alignment horizontal="center"/>
      <protection/>
    </xf>
    <xf numFmtId="181" fontId="73" fillId="45" borderId="0" xfId="57" applyNumberFormat="1" applyFont="1" applyFill="1" applyBorder="1" applyAlignment="1">
      <alignment horizontal="center"/>
      <protection/>
    </xf>
    <xf numFmtId="181" fontId="72" fillId="32" borderId="0" xfId="57" applyNumberFormat="1" applyFont="1" applyFill="1" applyBorder="1" applyAlignment="1">
      <alignment horizontal="center"/>
      <protection/>
    </xf>
    <xf numFmtId="178" fontId="7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72" fillId="33" borderId="0" xfId="57" applyNumberFormat="1" applyFont="1" applyFill="1" applyBorder="1" applyAlignment="1">
      <alignment/>
      <protection/>
    </xf>
    <xf numFmtId="181" fontId="72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72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179" fontId="72" fillId="33" borderId="0" xfId="57" applyNumberFormat="1" applyFont="1" applyFill="1" applyBorder="1" applyAlignment="1">
      <alignment/>
      <protection/>
    </xf>
    <xf numFmtId="202" fontId="72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9" fontId="72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9" fontId="72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9" fontId="72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7" fontId="20" fillId="54" borderId="19" xfId="58" applyNumberFormat="1" applyFont="1" applyFill="1" applyBorder="1" applyAlignment="1">
      <alignment/>
      <protection/>
    </xf>
    <xf numFmtId="197" fontId="20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7" fontId="20" fillId="54" borderId="20" xfId="58" applyNumberFormat="1" applyFont="1" applyFill="1" applyBorder="1" applyAlignment="1">
      <alignment/>
      <protection/>
    </xf>
    <xf numFmtId="197" fontId="20" fillId="54" borderId="21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/>
      <protection/>
    </xf>
    <xf numFmtId="203" fontId="72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1" fontId="25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80" fontId="20" fillId="32" borderId="69" xfId="57" applyNumberFormat="1" applyFont="1" applyFill="1" applyBorder="1" applyAlignment="1">
      <alignment horizontal="center"/>
      <protection/>
    </xf>
    <xf numFmtId="180" fontId="20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80" fontId="72" fillId="38" borderId="0" xfId="57" applyNumberFormat="1" applyFont="1" applyFill="1" applyBorder="1" applyAlignment="1">
      <alignment/>
      <protection/>
    </xf>
    <xf numFmtId="212" fontId="72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72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72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72" fillId="32" borderId="20" xfId="57" applyNumberFormat="1" applyFont="1" applyFill="1" applyBorder="1">
      <alignment/>
      <protection/>
    </xf>
    <xf numFmtId="178" fontId="72" fillId="32" borderId="20" xfId="57" applyNumberFormat="1" applyFont="1" applyFill="1" applyBorder="1" applyAlignment="1">
      <alignment horizontal="left"/>
      <protection/>
    </xf>
    <xf numFmtId="210" fontId="193" fillId="55" borderId="0" xfId="63" applyNumberFormat="1" applyFont="1" applyFill="1" applyBorder="1" applyAlignment="1">
      <alignment horizontal="center"/>
      <protection/>
    </xf>
    <xf numFmtId="0" fontId="194" fillId="55" borderId="0" xfId="63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center"/>
      <protection/>
    </xf>
    <xf numFmtId="212" fontId="25" fillId="33" borderId="0" xfId="58" applyNumberFormat="1" applyFont="1" applyFill="1" applyBorder="1" applyAlignment="1">
      <alignment horizontal="left"/>
      <protection/>
    </xf>
    <xf numFmtId="181" fontId="25" fillId="32" borderId="0" xfId="57" applyNumberFormat="1" applyFont="1" applyFill="1" applyBorder="1" applyAlignment="1">
      <alignment horizontal="center"/>
      <protection/>
    </xf>
    <xf numFmtId="179" fontId="72" fillId="33" borderId="0" xfId="57" applyNumberFormat="1" applyFont="1" applyFill="1" applyBorder="1" applyAlignment="1">
      <alignment horizontal="center"/>
      <protection/>
    </xf>
    <xf numFmtId="178" fontId="72" fillId="32" borderId="0" xfId="57" applyNumberFormat="1" applyFont="1" applyFill="1" applyBorder="1" applyAlignment="1">
      <alignment horizontal="center"/>
      <protection/>
    </xf>
    <xf numFmtId="180" fontId="72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72" fillId="38" borderId="0" xfId="57" applyNumberFormat="1" applyFont="1" applyFill="1" applyBorder="1" applyAlignment="1">
      <alignment horizontal="center"/>
      <protection/>
    </xf>
    <xf numFmtId="197" fontId="72" fillId="33" borderId="0" xfId="58" applyNumberFormat="1" applyFont="1" applyFill="1" applyBorder="1" applyAlignment="1">
      <alignment horizontal="center"/>
      <protection/>
    </xf>
    <xf numFmtId="181" fontId="72" fillId="32" borderId="0" xfId="57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72" fillId="33" borderId="0" xfId="57" applyNumberFormat="1" applyFont="1" applyFill="1" applyBorder="1" applyAlignment="1">
      <alignment horizontal="center"/>
      <protection/>
    </xf>
    <xf numFmtId="179" fontId="72" fillId="45" borderId="0" xfId="57" applyNumberFormat="1" applyFont="1" applyFill="1" applyBorder="1" applyAlignment="1">
      <alignment horizontal="center"/>
      <protection/>
    </xf>
    <xf numFmtId="180" fontId="72" fillId="38" borderId="0" xfId="57" applyNumberFormat="1" applyFont="1" applyFill="1" applyBorder="1" applyAlignment="1">
      <alignment horizontal="left"/>
      <protection/>
    </xf>
    <xf numFmtId="201" fontId="61" fillId="45" borderId="20" xfId="58" applyNumberFormat="1" applyFont="1" applyFill="1" applyBorder="1" applyAlignment="1">
      <alignment horizontal="center"/>
      <protection/>
    </xf>
    <xf numFmtId="199" fontId="61" fillId="32" borderId="19" xfId="58" applyNumberFormat="1" applyFont="1" applyFill="1" applyBorder="1" applyAlignment="1">
      <alignment horizontal="center"/>
      <protection/>
    </xf>
    <xf numFmtId="200" fontId="61" fillId="32" borderId="0" xfId="58" applyNumberFormat="1" applyFont="1" applyFill="1" applyBorder="1" applyAlignment="1">
      <alignment horizontal="center"/>
      <protection/>
    </xf>
    <xf numFmtId="197" fontId="72" fillId="32" borderId="0" xfId="58" applyNumberFormat="1" applyFont="1" applyFill="1" applyBorder="1" applyAlignment="1">
      <alignment horizontal="center"/>
      <protection/>
    </xf>
    <xf numFmtId="181" fontId="72" fillId="45" borderId="0" xfId="57" applyNumberFormat="1" applyFont="1" applyFill="1" applyBorder="1" applyAlignment="1">
      <alignment horizontal="center"/>
      <protection/>
    </xf>
    <xf numFmtId="202" fontId="72" fillId="33" borderId="0" xfId="57" applyNumberFormat="1" applyFont="1" applyFill="1" applyBorder="1" applyAlignment="1">
      <alignment horizontal="center"/>
      <protection/>
    </xf>
    <xf numFmtId="199" fontId="61" fillId="45" borderId="19" xfId="58" applyNumberFormat="1" applyFont="1" applyFill="1" applyBorder="1" applyAlignment="1">
      <alignment horizontal="center"/>
      <protection/>
    </xf>
    <xf numFmtId="201" fontId="61" fillId="32" borderId="20" xfId="58" applyNumberFormat="1" applyFont="1" applyFill="1" applyBorder="1" applyAlignment="1">
      <alignment horizontal="center"/>
      <protection/>
    </xf>
    <xf numFmtId="197" fontId="72" fillId="45" borderId="0" xfId="58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left"/>
      <protection/>
    </xf>
    <xf numFmtId="205" fontId="61" fillId="45" borderId="0" xfId="58" applyNumberFormat="1" applyFont="1" applyFill="1" applyBorder="1" applyAlignment="1">
      <alignment horizontal="center"/>
      <protection/>
    </xf>
    <xf numFmtId="206" fontId="61" fillId="45" borderId="20" xfId="58" applyNumberFormat="1" applyFont="1" applyFill="1" applyBorder="1" applyAlignment="1">
      <alignment horizontal="center"/>
      <protection/>
    </xf>
    <xf numFmtId="204" fontId="61" fillId="45" borderId="19" xfId="58" applyNumberFormat="1" applyFont="1" applyFill="1" applyBorder="1" applyAlignment="1">
      <alignment horizontal="center"/>
      <protection/>
    </xf>
    <xf numFmtId="179" fontId="72" fillId="33" borderId="0" xfId="57" applyNumberFormat="1" applyFont="1" applyFill="1" applyBorder="1" applyAlignment="1">
      <alignment horizontal="left"/>
      <protection/>
    </xf>
    <xf numFmtId="212" fontId="25" fillId="33" borderId="0" xfId="58" applyNumberFormat="1" applyFont="1" applyFill="1" applyBorder="1" applyAlignment="1">
      <alignment horizontal="center"/>
      <protection/>
    </xf>
    <xf numFmtId="204" fontId="61" fillId="32" borderId="19" xfId="58" applyNumberFormat="1" applyFont="1" applyFill="1" applyBorder="1" applyAlignment="1">
      <alignment horizontal="center"/>
      <protection/>
    </xf>
    <xf numFmtId="200" fontId="61" fillId="45" borderId="0" xfId="58" applyNumberFormat="1" applyFont="1" applyFill="1" applyBorder="1" applyAlignment="1">
      <alignment horizontal="center"/>
      <protection/>
    </xf>
    <xf numFmtId="205" fontId="61" fillId="32" borderId="0" xfId="58" applyNumberFormat="1" applyFont="1" applyFill="1" applyBorder="1" applyAlignment="1">
      <alignment horizontal="center"/>
      <protection/>
    </xf>
    <xf numFmtId="206" fontId="61" fillId="32" borderId="20" xfId="58" applyNumberFormat="1" applyFont="1" applyFill="1" applyBorder="1" applyAlignment="1">
      <alignment horizontal="center"/>
      <protection/>
    </xf>
    <xf numFmtId="209" fontId="195" fillId="32" borderId="0" xfId="0" applyNumberFormat="1" applyFont="1" applyFill="1" applyAlignment="1" applyProtection="1">
      <alignment horizontal="center"/>
      <protection/>
    </xf>
    <xf numFmtId="209" fontId="195" fillId="54" borderId="0" xfId="0" applyNumberFormat="1" applyFont="1" applyFill="1" applyAlignment="1" applyProtection="1">
      <alignment horizontal="center"/>
      <protection/>
    </xf>
    <xf numFmtId="38" fontId="186" fillId="43" borderId="42" xfId="65" applyNumberFormat="1" applyFont="1" applyFill="1" applyBorder="1" applyAlignment="1" applyProtection="1">
      <alignment horizontal="center"/>
      <protection/>
    </xf>
    <xf numFmtId="38" fontId="186" fillId="43" borderId="43" xfId="65" applyNumberFormat="1" applyFont="1" applyFill="1" applyBorder="1" applyAlignment="1" applyProtection="1">
      <alignment horizontal="center"/>
      <protection/>
    </xf>
    <xf numFmtId="38" fontId="186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6" fillId="45" borderId="28" xfId="57" applyNumberFormat="1" applyFont="1" applyFill="1" applyBorder="1" applyAlignment="1" applyProtection="1">
      <alignment horizontal="center" vertical="center"/>
      <protection locked="0"/>
    </xf>
    <xf numFmtId="188" fontId="196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50" fillId="33" borderId="62" xfId="65" applyNumberFormat="1" applyFont="1" applyFill="1" applyBorder="1" applyAlignment="1" applyProtection="1">
      <alignment horizontal="center"/>
      <protection/>
    </xf>
    <xf numFmtId="38" fontId="50" fillId="33" borderId="45" xfId="65" applyNumberFormat="1" applyFont="1" applyFill="1" applyBorder="1" applyAlignment="1" applyProtection="1">
      <alignment horizontal="center"/>
      <protection/>
    </xf>
    <xf numFmtId="38" fontId="50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7" fillId="46" borderId="65" xfId="65" applyNumberFormat="1" applyFont="1" applyFill="1" applyBorder="1" applyAlignment="1" applyProtection="1">
      <alignment horizontal="center"/>
      <protection/>
    </xf>
    <xf numFmtId="38" fontId="167" fillId="46" borderId="20" xfId="65" applyNumberFormat="1" applyFont="1" applyFill="1" applyBorder="1" applyAlignment="1" applyProtection="1">
      <alignment horizontal="center"/>
      <protection/>
    </xf>
    <xf numFmtId="38" fontId="167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5" fillId="43" borderId="51" xfId="65" applyNumberFormat="1" applyFont="1" applyFill="1" applyBorder="1" applyAlignment="1" applyProtection="1">
      <alignment horizontal="center"/>
      <protection/>
    </xf>
    <xf numFmtId="38" fontId="25" fillId="43" borderId="53" xfId="65" applyNumberFormat="1" applyFont="1" applyFill="1" applyBorder="1" applyAlignment="1" applyProtection="1">
      <alignment horizontal="center"/>
      <protection/>
    </xf>
    <xf numFmtId="38" fontId="25" fillId="43" borderId="54" xfId="65" applyNumberFormat="1" applyFont="1" applyFill="1" applyBorder="1" applyAlignment="1" applyProtection="1">
      <alignment horizontal="center"/>
      <protection/>
    </xf>
    <xf numFmtId="38" fontId="25" fillId="43" borderId="59" xfId="65" applyNumberFormat="1" applyFont="1" applyFill="1" applyBorder="1" applyAlignment="1" applyProtection="1">
      <alignment horizontal="center"/>
      <protection/>
    </xf>
    <xf numFmtId="38" fontId="25" fillId="43" borderId="47" xfId="65" applyNumberFormat="1" applyFont="1" applyFill="1" applyBorder="1" applyAlignment="1" applyProtection="1">
      <alignment horizontal="center"/>
      <protection/>
    </xf>
    <xf numFmtId="38" fontId="25" fillId="43" borderId="48" xfId="65" applyNumberFormat="1" applyFont="1" applyFill="1" applyBorder="1" applyAlignment="1" applyProtection="1">
      <alignment horizontal="center"/>
      <protection/>
    </xf>
    <xf numFmtId="38" fontId="25" fillId="43" borderId="60" xfId="65" applyNumberFormat="1" applyFont="1" applyFill="1" applyBorder="1" applyAlignment="1" applyProtection="1">
      <alignment horizontal="center"/>
      <protection/>
    </xf>
    <xf numFmtId="38" fontId="25" fillId="43" borderId="49" xfId="65" applyNumberFormat="1" applyFont="1" applyFill="1" applyBorder="1" applyAlignment="1" applyProtection="1">
      <alignment horizontal="center"/>
      <protection/>
    </xf>
    <xf numFmtId="38" fontId="25" fillId="43" borderId="50" xfId="65" applyNumberFormat="1" applyFont="1" applyFill="1" applyBorder="1" applyAlignment="1" applyProtection="1">
      <alignment horizontal="center"/>
      <protection/>
    </xf>
    <xf numFmtId="38" fontId="25" fillId="54" borderId="42" xfId="65" applyNumberFormat="1" applyFont="1" applyFill="1" applyBorder="1" applyAlignment="1" applyProtection="1">
      <alignment horizontal="center"/>
      <protection/>
    </xf>
    <xf numFmtId="38" fontId="25" fillId="54" borderId="43" xfId="65" applyNumberFormat="1" applyFont="1" applyFill="1" applyBorder="1" applyAlignment="1" applyProtection="1">
      <alignment horizontal="center"/>
      <protection/>
    </xf>
    <xf numFmtId="38" fontId="25" fillId="54" borderId="44" xfId="65" applyNumberFormat="1" applyFont="1" applyFill="1" applyBorder="1" applyAlignment="1" applyProtection="1">
      <alignment horizontal="center"/>
      <protection/>
    </xf>
    <xf numFmtId="0" fontId="197" fillId="33" borderId="61" xfId="61" applyFont="1" applyFill="1" applyBorder="1" applyAlignment="1" applyProtection="1">
      <alignment horizontal="center"/>
      <protection/>
    </xf>
    <xf numFmtId="0" fontId="197" fillId="33" borderId="0" xfId="61" applyFont="1" applyFill="1" applyBorder="1" applyAlignment="1" applyProtection="1">
      <alignment horizontal="center"/>
      <protection/>
    </xf>
    <xf numFmtId="0" fontId="197" fillId="33" borderId="30" xfId="61" applyFont="1" applyFill="1" applyBorder="1" applyAlignment="1" applyProtection="1">
      <alignment horizontal="center"/>
      <protection/>
    </xf>
    <xf numFmtId="0" fontId="173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7" fillId="50" borderId="17" xfId="64" applyFont="1" applyFill="1" applyBorder="1" applyAlignment="1" applyProtection="1">
      <alignment horizontal="center" vertical="top"/>
      <protection/>
    </xf>
    <xf numFmtId="0" fontId="17" fillId="50" borderId="0" xfId="64" applyFont="1" applyFill="1" applyBorder="1" applyAlignment="1" applyProtection="1">
      <alignment horizontal="center" vertical="top"/>
      <protection/>
    </xf>
    <xf numFmtId="0" fontId="17" fillId="50" borderId="18" xfId="64" applyFont="1" applyFill="1" applyBorder="1" applyAlignment="1" applyProtection="1">
      <alignment horizontal="center" vertical="top"/>
      <protection/>
    </xf>
    <xf numFmtId="187" fontId="198" fillId="32" borderId="0" xfId="60" applyNumberFormat="1" applyFont="1" applyFill="1" applyBorder="1" applyAlignment="1" applyProtection="1">
      <alignment horizontal="center"/>
      <protection/>
    </xf>
    <xf numFmtId="0" fontId="159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9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9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8" fillId="36" borderId="28" xfId="53" applyFill="1" applyBorder="1" applyAlignment="1" applyProtection="1">
      <alignment horizontal="center" vertical="center"/>
      <protection locked="0"/>
    </xf>
    <xf numFmtId="0" fontId="199" fillId="36" borderId="43" xfId="53" applyFont="1" applyFill="1" applyBorder="1" applyAlignment="1" applyProtection="1">
      <alignment horizontal="center" vertical="center"/>
      <protection locked="0"/>
    </xf>
    <xf numFmtId="0" fontId="199" fillId="36" borderId="29" xfId="53" applyFont="1" applyFill="1" applyBorder="1" applyAlignment="1" applyProtection="1">
      <alignment horizontal="center" vertical="center"/>
      <protection locked="0"/>
    </xf>
    <xf numFmtId="38" fontId="148" fillId="33" borderId="28" xfId="53" applyNumberFormat="1" applyFill="1" applyBorder="1" applyAlignment="1" applyProtection="1">
      <alignment horizontal="center" vertical="center"/>
      <protection locked="0"/>
    </xf>
    <xf numFmtId="38" fontId="200" fillId="33" borderId="43" xfId="53" applyNumberFormat="1" applyFont="1" applyFill="1" applyBorder="1" applyAlignment="1" applyProtection="1">
      <alignment horizontal="center" vertical="center"/>
      <protection locked="0"/>
    </xf>
    <xf numFmtId="38" fontId="200" fillId="33" borderId="29" xfId="53" applyNumberFormat="1" applyFont="1" applyFill="1" applyBorder="1" applyAlignment="1" applyProtection="1">
      <alignment horizontal="center" vertical="center"/>
      <protection locked="0"/>
    </xf>
    <xf numFmtId="0" fontId="201" fillId="32" borderId="0" xfId="60" applyFont="1" applyFill="1" applyBorder="1" applyAlignment="1" applyProtection="1">
      <alignment horizontal="center"/>
      <protection/>
    </xf>
    <xf numFmtId="187" fontId="164" fillId="33" borderId="28" xfId="60" applyNumberFormat="1" applyFont="1" applyFill="1" applyBorder="1" applyAlignment="1" applyProtection="1">
      <alignment horizontal="center"/>
      <protection/>
    </xf>
    <xf numFmtId="187" fontId="164" fillId="33" borderId="43" xfId="60" applyNumberFormat="1" applyFont="1" applyFill="1" applyBorder="1" applyAlignment="1" applyProtection="1">
      <alignment horizontal="center"/>
      <protection/>
    </xf>
    <xf numFmtId="187" fontId="164" fillId="33" borderId="29" xfId="60" applyNumberFormat="1" applyFont="1" applyFill="1" applyBorder="1" applyAlignment="1" applyProtection="1">
      <alignment horizontal="center"/>
      <protection/>
    </xf>
    <xf numFmtId="0" fontId="58" fillId="50" borderId="133" xfId="64" applyFont="1" applyFill="1" applyBorder="1" applyAlignment="1" applyProtection="1" quotePrefix="1">
      <alignment horizontal="center" wrapText="1"/>
      <protection locked="0"/>
    </xf>
    <xf numFmtId="0" fontId="58" fillId="50" borderId="53" xfId="64" applyFont="1" applyFill="1" applyBorder="1" applyAlignment="1" applyProtection="1">
      <alignment horizontal="center" wrapText="1"/>
      <protection locked="0"/>
    </xf>
    <xf numFmtId="0" fontId="58" fillId="50" borderId="134" xfId="64" applyFont="1" applyFill="1" applyBorder="1" applyAlignment="1" applyProtection="1">
      <alignment horizontal="center" wrapText="1"/>
      <protection locked="0"/>
    </xf>
    <xf numFmtId="0" fontId="202" fillId="32" borderId="45" xfId="57" applyFont="1" applyFill="1" applyBorder="1" applyAlignment="1" applyProtection="1" quotePrefix="1">
      <alignment horizontal="center"/>
      <protection/>
    </xf>
    <xf numFmtId="0" fontId="203" fillId="38" borderId="26" xfId="64" applyFont="1" applyFill="1" applyBorder="1" applyAlignment="1" applyProtection="1">
      <alignment horizontal="center" vertical="center" wrapText="1"/>
      <protection locked="0"/>
    </xf>
    <xf numFmtId="0" fontId="203" fillId="38" borderId="20" xfId="64" applyFont="1" applyFill="1" applyBorder="1" applyAlignment="1" applyProtection="1">
      <alignment horizontal="center" vertical="center" wrapText="1"/>
      <protection locked="0"/>
    </xf>
    <xf numFmtId="0" fontId="203" fillId="38" borderId="21" xfId="64" applyFont="1" applyFill="1" applyBorder="1" applyAlignment="1" applyProtection="1">
      <alignment horizontal="center" vertical="center" wrapText="1"/>
      <protection locked="0"/>
    </xf>
    <xf numFmtId="208" fontId="204" fillId="48" borderId="43" xfId="65" applyNumberFormat="1" applyFont="1" applyFill="1" applyBorder="1" applyAlignment="1" applyProtection="1">
      <alignment horizontal="left"/>
      <protection/>
    </xf>
    <xf numFmtId="208" fontId="204" fillId="48" borderId="29" xfId="65" applyNumberFormat="1" applyFont="1" applyFill="1" applyBorder="1" applyAlignment="1" applyProtection="1">
      <alignment horizontal="left"/>
      <protection/>
    </xf>
    <xf numFmtId="0" fontId="193" fillId="55" borderId="0" xfId="57" applyFont="1" applyFill="1" applyAlignment="1" applyProtection="1" quotePrefix="1">
      <alignment horizontal="center"/>
      <protection/>
    </xf>
    <xf numFmtId="211" fontId="193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5" fillId="33" borderId="47" xfId="65" applyNumberFormat="1" applyFont="1" applyFill="1" applyBorder="1" applyAlignment="1" applyProtection="1">
      <alignment horizontal="center"/>
      <protection/>
    </xf>
    <xf numFmtId="38" fontId="205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205" fillId="33" borderId="49" xfId="65" applyNumberFormat="1" applyFont="1" applyFill="1" applyBorder="1" applyAlignment="1" applyProtection="1">
      <alignment horizontal="center"/>
      <protection/>
    </xf>
    <xf numFmtId="38" fontId="205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6" fillId="33" borderId="28" xfId="0" applyNumberFormat="1" applyFont="1" applyFill="1" applyBorder="1" applyAlignment="1" applyProtection="1">
      <alignment horizontal="center"/>
      <protection locked="0"/>
    </xf>
    <xf numFmtId="1" fontId="56" fillId="33" borderId="43" xfId="0" applyNumberFormat="1" applyFont="1" applyFill="1" applyBorder="1" applyAlignment="1" applyProtection="1">
      <alignment horizontal="center"/>
      <protection locked="0"/>
    </xf>
    <xf numFmtId="1" fontId="56" fillId="33" borderId="29" xfId="0" applyNumberFormat="1" applyFont="1" applyFill="1" applyBorder="1" applyAlignment="1" applyProtection="1">
      <alignment horizontal="center"/>
      <protection locked="0"/>
    </xf>
    <xf numFmtId="0" fontId="32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8" fillId="33" borderId="0" xfId="60" applyNumberFormat="1" applyFont="1" applyFill="1" applyBorder="1" applyAlignment="1" applyProtection="1">
      <alignment horizontal="center"/>
      <protection/>
    </xf>
    <xf numFmtId="0" fontId="202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7" fillId="33" borderId="116" xfId="61" applyFont="1" applyFill="1" applyBorder="1" applyAlignment="1" applyProtection="1">
      <alignment horizontal="center"/>
      <protection/>
    </xf>
    <xf numFmtId="0" fontId="197" fillId="33" borderId="135" xfId="61" applyFont="1" applyFill="1" applyBorder="1" applyAlignment="1" applyProtection="1">
      <alignment horizontal="center"/>
      <protection/>
    </xf>
    <xf numFmtId="210" fontId="206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6" fillId="45" borderId="28" xfId="57" applyNumberFormat="1" applyFont="1" applyFill="1" applyBorder="1" applyAlignment="1" applyProtection="1">
      <alignment horizontal="center" vertical="center"/>
      <protection/>
    </xf>
    <xf numFmtId="188" fontId="196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61" fillId="33" borderId="26" xfId="64" applyFont="1" applyFill="1" applyBorder="1" applyAlignment="1" applyProtection="1">
      <alignment horizontal="center" vertical="center" wrapText="1"/>
      <protection/>
    </xf>
    <xf numFmtId="0" fontId="61" fillId="33" borderId="20" xfId="64" applyFont="1" applyFill="1" applyBorder="1" applyAlignment="1" applyProtection="1">
      <alignment horizontal="center" vertical="center" wrapText="1"/>
      <protection/>
    </xf>
    <xf numFmtId="0" fontId="61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7" fillId="36" borderId="28" xfId="53" applyFont="1" applyFill="1" applyBorder="1" applyAlignment="1" applyProtection="1">
      <alignment horizontal="center" vertical="center"/>
      <protection/>
    </xf>
    <xf numFmtId="0" fontId="207" fillId="36" borderId="43" xfId="53" applyFont="1" applyFill="1" applyBorder="1" applyAlignment="1" applyProtection="1">
      <alignment horizontal="center" vertical="center"/>
      <protection/>
    </xf>
    <xf numFmtId="0" fontId="207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8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288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370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371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372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373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374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300</v>
      </c>
      <c r="E14" s="67"/>
      <c r="F14" s="67"/>
      <c r="G14" s="67"/>
      <c r="H14" s="615">
        <f>+H7</f>
        <v>2022</v>
      </c>
      <c r="I14" s="67" t="s">
        <v>301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375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376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377</v>
      </c>
      <c r="E17" s="616">
        <f>+H7-1</f>
        <v>2021</v>
      </c>
      <c r="F17" s="463" t="s">
        <v>378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379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380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381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300</v>
      </c>
      <c r="E21" s="67"/>
      <c r="F21" s="67"/>
      <c r="G21" s="67"/>
      <c r="H21" s="616">
        <f>+H7-1</f>
        <v>2021</v>
      </c>
      <c r="I21" s="67" t="s">
        <v>301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382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383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270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269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279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289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384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385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386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387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388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389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264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390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391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392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267</v>
      </c>
      <c r="E41" s="67"/>
      <c r="F41" s="620"/>
      <c r="G41" s="620"/>
      <c r="H41" s="620"/>
      <c r="I41" s="621"/>
      <c r="J41" s="622">
        <f>+H7-1</f>
        <v>2021</v>
      </c>
      <c r="K41" s="67" t="s">
        <v>265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266</v>
      </c>
      <c r="E42" s="67"/>
      <c r="F42" s="620"/>
      <c r="G42" s="680">
        <f>+H7-1</f>
        <v>2021</v>
      </c>
      <c r="H42" s="680"/>
      <c r="I42" s="623" t="s">
        <v>393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394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395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268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397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398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348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399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349</v>
      </c>
      <c r="E57" s="67"/>
      <c r="F57" s="67"/>
      <c r="G57" s="67"/>
      <c r="H57" s="67"/>
      <c r="I57" s="678">
        <f>+H7</f>
        <v>2022</v>
      </c>
      <c r="J57" s="678"/>
      <c r="K57" s="625" t="s">
        <v>400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303</v>
      </c>
      <c r="E59" s="684">
        <f>+H7</f>
        <v>2022</v>
      </c>
      <c r="F59" s="684"/>
      <c r="G59" s="684"/>
      <c r="H59" s="684"/>
      <c r="I59" s="684"/>
      <c r="J59" s="684"/>
      <c r="K59" s="546" t="s">
        <v>304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306</v>
      </c>
      <c r="E60" s="685">
        <f>+H7</f>
        <v>2022</v>
      </c>
      <c r="F60" s="685"/>
      <c r="G60" s="685"/>
      <c r="H60" s="685"/>
      <c r="I60" s="685"/>
      <c r="J60" s="685"/>
      <c r="K60" s="549" t="s">
        <v>305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309</v>
      </c>
      <c r="E61" s="690">
        <f>+H7</f>
        <v>2022</v>
      </c>
      <c r="F61" s="690"/>
      <c r="G61" s="690"/>
      <c r="H61" s="690"/>
      <c r="I61" s="690"/>
      <c r="J61" s="690"/>
      <c r="K61" s="552" t="s">
        <v>307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352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350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351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401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402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403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404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405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406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354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407</v>
      </c>
      <c r="E75" s="67"/>
      <c r="F75" s="67"/>
      <c r="G75" s="67"/>
      <c r="H75" s="626"/>
      <c r="I75" s="671">
        <f>+H7</f>
        <v>2022</v>
      </c>
      <c r="J75" s="671"/>
      <c r="K75" s="67" t="s">
        <v>408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353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409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410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348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399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349</v>
      </c>
      <c r="E82" s="67"/>
      <c r="F82" s="67"/>
      <c r="G82" s="67"/>
      <c r="H82" s="67"/>
      <c r="I82" s="678">
        <f>+H7</f>
        <v>2022</v>
      </c>
      <c r="J82" s="678"/>
      <c r="K82" s="625" t="s">
        <v>411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303</v>
      </c>
      <c r="E84" s="698">
        <f>+H7</f>
        <v>2022</v>
      </c>
      <c r="F84" s="698"/>
      <c r="G84" s="698"/>
      <c r="H84" s="698"/>
      <c r="I84" s="698"/>
      <c r="J84" s="698"/>
      <c r="K84" s="546" t="s">
        <v>310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306</v>
      </c>
      <c r="E85" s="700">
        <f>+H7</f>
        <v>2022</v>
      </c>
      <c r="F85" s="700"/>
      <c r="G85" s="700"/>
      <c r="H85" s="700"/>
      <c r="I85" s="700"/>
      <c r="J85" s="700"/>
      <c r="K85" s="549" t="s">
        <v>311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309</v>
      </c>
      <c r="E86" s="701">
        <f>+H7</f>
        <v>2022</v>
      </c>
      <c r="F86" s="701"/>
      <c r="G86" s="701"/>
      <c r="H86" s="701"/>
      <c r="I86" s="701"/>
      <c r="J86" s="701"/>
      <c r="K86" s="552" t="s">
        <v>312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355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350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351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412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413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348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399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313</v>
      </c>
      <c r="E98" s="67"/>
      <c r="F98" s="67"/>
      <c r="G98" s="67"/>
      <c r="H98" s="67"/>
      <c r="I98" s="687">
        <f>+H7-1</f>
        <v>2021</v>
      </c>
      <c r="J98" s="687"/>
      <c r="K98" s="625" t="s">
        <v>400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414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415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416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417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418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419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420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350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351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421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402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403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404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405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406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422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314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407</v>
      </c>
      <c r="E116" s="67"/>
      <c r="F116" s="67"/>
      <c r="G116" s="67"/>
      <c r="H116" s="646"/>
      <c r="I116" s="671">
        <f>+H7</f>
        <v>2022</v>
      </c>
      <c r="J116" s="671"/>
      <c r="K116" s="67" t="s">
        <v>423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353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409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424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348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399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313</v>
      </c>
      <c r="E123" s="67"/>
      <c r="F123" s="67"/>
      <c r="G123" s="67"/>
      <c r="H123" s="67"/>
      <c r="I123" s="687">
        <f>+H7-1</f>
        <v>2021</v>
      </c>
      <c r="J123" s="687"/>
      <c r="K123" s="625" t="s">
        <v>411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303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315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306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316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309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317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425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350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351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334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426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335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336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337</v>
      </c>
      <c r="E137" s="67"/>
      <c r="F137" s="67"/>
      <c r="G137" s="67"/>
      <c r="H137" s="670">
        <f>+H7</f>
        <v>2022</v>
      </c>
      <c r="I137" s="670"/>
      <c r="J137" s="67" t="s">
        <v>338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427</v>
      </c>
      <c r="E138" s="67"/>
      <c r="F138" s="67"/>
      <c r="G138" s="592"/>
      <c r="H138" s="592"/>
      <c r="I138" s="668">
        <f>+H7</f>
        <v>2022</v>
      </c>
      <c r="J138" s="668"/>
      <c r="K138" s="67" t="s">
        <v>339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428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429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430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347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313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431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432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341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340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433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434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435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342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436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437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343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438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439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346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67" t="s">
        <v>344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67" t="s">
        <v>345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440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441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442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356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443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444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445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446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447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448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357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449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450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451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2">
        <f>H7</f>
        <v>2022</v>
      </c>
      <c r="E189" s="682"/>
      <c r="F189" s="654" t="s">
        <v>452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67" t="s">
        <v>344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308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453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454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455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456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457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458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70" zoomScaleNormal="70" zoomScalePageLayoutView="0" workbookViewId="0" topLeftCell="A1">
      <pane xSplit="5" ySplit="12" topLeftCell="F12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18" sqref="J11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460</v>
      </c>
      <c r="C1" s="791"/>
      <c r="D1" s="791"/>
      <c r="E1" s="791"/>
      <c r="F1" s="792"/>
      <c r="G1" s="433" t="s">
        <v>244</v>
      </c>
      <c r="H1" s="426"/>
      <c r="I1" s="778">
        <v>695317</v>
      </c>
      <c r="J1" s="779"/>
      <c r="K1" s="427"/>
      <c r="L1" s="435" t="s">
        <v>245</v>
      </c>
      <c r="M1" s="431">
        <v>1600</v>
      </c>
      <c r="N1" s="427"/>
      <c r="O1" s="435" t="s">
        <v>239</v>
      </c>
      <c r="P1" s="452"/>
      <c r="Q1" s="428"/>
      <c r="R1" s="344" t="s">
        <v>277</v>
      </c>
      <c r="S1" s="710">
        <v>1600</v>
      </c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461</v>
      </c>
      <c r="C3" s="795"/>
      <c r="D3" s="795"/>
      <c r="E3" s="795"/>
      <c r="F3" s="796"/>
      <c r="G3" s="434" t="s">
        <v>238</v>
      </c>
      <c r="H3" s="783"/>
      <c r="I3" s="784"/>
      <c r="J3" s="784"/>
      <c r="K3" s="785"/>
      <c r="L3" s="28" t="s">
        <v>246</v>
      </c>
      <c r="M3" s="780"/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ПРБ МИНИСТЕРСТВО НА ЗДРАВЕОПАЗВАНЕТО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368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30.11.2022 г.</v>
      </c>
      <c r="G11" s="396">
        <f>+P5-1</f>
        <v>2021</v>
      </c>
      <c r="H11" s="15"/>
      <c r="I11" s="604" t="str">
        <f>+O8</f>
        <v>30.11.2022 г.</v>
      </c>
      <c r="J11" s="397">
        <f>+P5-1</f>
        <v>2021</v>
      </c>
      <c r="K11" s="16"/>
      <c r="L11" s="605" t="str">
        <f>+O8</f>
        <v>30.11.2022 г.</v>
      </c>
      <c r="M11" s="398">
        <f>+P5-1</f>
        <v>2021</v>
      </c>
      <c r="N11" s="16"/>
      <c r="O11" s="606" t="str">
        <f>+O8</f>
        <v>30.11.2022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358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359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21" t="s">
        <v>149</v>
      </c>
      <c r="S15" s="722"/>
      <c r="T15" s="723"/>
      <c r="U15" s="34"/>
      <c r="V15" s="2"/>
      <c r="W15" s="104" t="s">
        <v>360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284</v>
      </c>
      <c r="C16" s="152"/>
      <c r="D16" s="153"/>
      <c r="E16" s="15"/>
      <c r="F16" s="234">
        <v>27535699</v>
      </c>
      <c r="G16" s="233">
        <v>31460866</v>
      </c>
      <c r="H16" s="15"/>
      <c r="I16" s="234"/>
      <c r="J16" s="233"/>
      <c r="K16" s="227"/>
      <c r="L16" s="234"/>
      <c r="M16" s="233"/>
      <c r="N16" s="227"/>
      <c r="O16" s="361">
        <f t="shared" si="0"/>
        <v>27535699</v>
      </c>
      <c r="P16" s="384">
        <f t="shared" si="0"/>
        <v>31460866</v>
      </c>
      <c r="Q16" s="31"/>
      <c r="R16" s="775" t="s">
        <v>285</v>
      </c>
      <c r="S16" s="776"/>
      <c r="T16" s="777"/>
      <c r="U16" s="34"/>
      <c r="V16" s="2"/>
      <c r="W16" s="217" t="s">
        <v>361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286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280</v>
      </c>
      <c r="S17" s="758"/>
      <c r="T17" s="759"/>
      <c r="U17" s="34"/>
      <c r="V17" s="2"/>
      <c r="W17" s="215" t="s">
        <v>362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1360557</v>
      </c>
      <c r="G18" s="229">
        <v>2538926</v>
      </c>
      <c r="H18" s="15"/>
      <c r="I18" s="230">
        <v>23465</v>
      </c>
      <c r="J18" s="229"/>
      <c r="K18" s="227"/>
      <c r="L18" s="230"/>
      <c r="M18" s="229"/>
      <c r="N18" s="227"/>
      <c r="O18" s="365">
        <f t="shared" si="0"/>
        <v>1384022</v>
      </c>
      <c r="P18" s="378">
        <f t="shared" si="0"/>
        <v>2538926</v>
      </c>
      <c r="Q18" s="31"/>
      <c r="R18" s="721" t="s">
        <v>150</v>
      </c>
      <c r="S18" s="722"/>
      <c r="T18" s="723"/>
      <c r="U18" s="34"/>
      <c r="V18" s="2"/>
      <c r="W18" s="104" t="s">
        <v>363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5882630</v>
      </c>
      <c r="G19" s="231">
        <v>7396762</v>
      </c>
      <c r="H19" s="15"/>
      <c r="I19" s="232">
        <v>0</v>
      </c>
      <c r="J19" s="231"/>
      <c r="K19" s="227"/>
      <c r="L19" s="232"/>
      <c r="M19" s="231"/>
      <c r="N19" s="227"/>
      <c r="O19" s="360">
        <f t="shared" si="0"/>
        <v>5882630</v>
      </c>
      <c r="P19" s="412">
        <f t="shared" si="0"/>
        <v>7396762</v>
      </c>
      <c r="Q19" s="31"/>
      <c r="R19" s="707" t="s">
        <v>151</v>
      </c>
      <c r="S19" s="708"/>
      <c r="T19" s="709"/>
      <c r="U19" s="34"/>
      <c r="V19" s="2"/>
      <c r="W19" s="217" t="s">
        <v>364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332963</v>
      </c>
      <c r="G20" s="231">
        <v>331823</v>
      </c>
      <c r="H20" s="15"/>
      <c r="I20" s="232">
        <v>0</v>
      </c>
      <c r="J20" s="231"/>
      <c r="K20" s="227"/>
      <c r="L20" s="232"/>
      <c r="M20" s="231"/>
      <c r="N20" s="227"/>
      <c r="O20" s="360">
        <f t="shared" si="0"/>
        <v>332963</v>
      </c>
      <c r="P20" s="412">
        <f t="shared" si="0"/>
        <v>331823</v>
      </c>
      <c r="Q20" s="31"/>
      <c r="R20" s="707" t="s">
        <v>152</v>
      </c>
      <c r="S20" s="708"/>
      <c r="T20" s="709"/>
      <c r="U20" s="34"/>
      <c r="V20" s="2"/>
      <c r="W20" s="215" t="s">
        <v>365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>
        <v>0</v>
      </c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366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651</v>
      </c>
      <c r="G22" s="231">
        <v>10</v>
      </c>
      <c r="H22" s="15"/>
      <c r="I22" s="232">
        <v>0</v>
      </c>
      <c r="J22" s="231"/>
      <c r="K22" s="227"/>
      <c r="L22" s="232"/>
      <c r="M22" s="231">
        <v>0</v>
      </c>
      <c r="N22" s="227"/>
      <c r="O22" s="360">
        <f t="shared" si="0"/>
        <v>651</v>
      </c>
      <c r="P22" s="412">
        <f t="shared" si="0"/>
        <v>10</v>
      </c>
      <c r="Q22" s="31"/>
      <c r="R22" s="707" t="s">
        <v>154</v>
      </c>
      <c r="S22" s="708"/>
      <c r="T22" s="709"/>
      <c r="U22" s="34"/>
      <c r="V22" s="2"/>
      <c r="W22" s="217" t="s">
        <v>367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>
        <v>0</v>
      </c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368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53740</v>
      </c>
      <c r="G24" s="233">
        <v>3076048</v>
      </c>
      <c r="H24" s="15"/>
      <c r="I24" s="234">
        <v>4174</v>
      </c>
      <c r="J24" s="233"/>
      <c r="K24" s="227"/>
      <c r="L24" s="234"/>
      <c r="M24" s="233"/>
      <c r="N24" s="227"/>
      <c r="O24" s="361">
        <f t="shared" si="0"/>
        <v>57914</v>
      </c>
      <c r="P24" s="384">
        <f t="shared" si="0"/>
        <v>3076048</v>
      </c>
      <c r="Q24" s="31"/>
      <c r="R24" s="742" t="s">
        <v>281</v>
      </c>
      <c r="S24" s="743"/>
      <c r="T24" s="744"/>
      <c r="U24" s="34"/>
      <c r="V24" s="2"/>
      <c r="W24" s="104" t="s">
        <v>369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35166240</v>
      </c>
      <c r="G25" s="235">
        <f>+ROUND(+SUM(G15,G16,G18,G19,G20,G21,G22,G23,G24),0)</f>
        <v>44804435</v>
      </c>
      <c r="H25" s="15"/>
      <c r="I25" s="236">
        <f>+ROUND(+SUM(I15,I16,I18,I19,I20,I21,I22,I23,I24),0)</f>
        <v>27639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35193879</v>
      </c>
      <c r="P25" s="363">
        <f>+ROUND(+SUM(P15,P16,P18,P19,P20,P21,P22,P23,P24),0)</f>
        <v>44804435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0</v>
      </c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82292</v>
      </c>
      <c r="G28" s="231">
        <v>103188</v>
      </c>
      <c r="H28" s="15"/>
      <c r="I28" s="232"/>
      <c r="J28" s="231"/>
      <c r="K28" s="227"/>
      <c r="L28" s="232"/>
      <c r="M28" s="231"/>
      <c r="N28" s="227"/>
      <c r="O28" s="360">
        <f t="shared" si="1"/>
        <v>82292</v>
      </c>
      <c r="P28" s="412">
        <f t="shared" si="1"/>
        <v>103188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>
        <v>0</v>
      </c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254</v>
      </c>
      <c r="C30" s="145"/>
      <c r="D30" s="146"/>
      <c r="E30" s="15"/>
      <c r="F30" s="236">
        <f>+ROUND(+SUM(F27:F29),0)</f>
        <v>82292</v>
      </c>
      <c r="G30" s="235">
        <f>+ROUND(+SUM(G27:G29),0)</f>
        <v>103188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82292</v>
      </c>
      <c r="P30" s="363">
        <f>+ROUND(+SUM(P27:P29),0)</f>
        <v>103188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255</v>
      </c>
      <c r="C37" s="145"/>
      <c r="D37" s="146"/>
      <c r="E37" s="15"/>
      <c r="F37" s="248">
        <v>-6726234</v>
      </c>
      <c r="G37" s="247">
        <v>-22392660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-6726234</v>
      </c>
      <c r="P37" s="363">
        <f t="shared" si="2"/>
        <v>-22392660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-6416856</v>
      </c>
      <c r="G38" s="249">
        <v>-22067363</v>
      </c>
      <c r="H38" s="15"/>
      <c r="I38" s="250"/>
      <c r="J38" s="249"/>
      <c r="K38" s="227"/>
      <c r="L38" s="250"/>
      <c r="M38" s="249"/>
      <c r="N38" s="227"/>
      <c r="O38" s="375">
        <f t="shared" si="2"/>
        <v>-6416856</v>
      </c>
      <c r="P38" s="413">
        <f t="shared" si="2"/>
        <v>-22067363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-27932</v>
      </c>
      <c r="G39" s="251">
        <v>-42717</v>
      </c>
      <c r="H39" s="15"/>
      <c r="I39" s="252"/>
      <c r="J39" s="251"/>
      <c r="K39" s="227"/>
      <c r="L39" s="252"/>
      <c r="M39" s="251"/>
      <c r="N39" s="227"/>
      <c r="O39" s="376">
        <f t="shared" si="2"/>
        <v>-27932</v>
      </c>
      <c r="P39" s="414">
        <f t="shared" si="2"/>
        <v>-42717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0</v>
      </c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145615</v>
      </c>
      <c r="G42" s="247">
        <v>305676</v>
      </c>
      <c r="H42" s="15"/>
      <c r="I42" s="248"/>
      <c r="J42" s="247"/>
      <c r="K42" s="227"/>
      <c r="L42" s="248"/>
      <c r="M42" s="247"/>
      <c r="N42" s="227"/>
      <c r="O42" s="362">
        <f>+ROUND(+F42+I42+L42,0)</f>
        <v>145615</v>
      </c>
      <c r="P42" s="363">
        <f>+ROUND(+G42+J42+M42,0)</f>
        <v>305676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>
        <v>107770</v>
      </c>
      <c r="G44" s="229">
        <v>120917</v>
      </c>
      <c r="H44" s="15"/>
      <c r="I44" s="230">
        <v>-6968</v>
      </c>
      <c r="J44" s="229">
        <v>3428089</v>
      </c>
      <c r="K44" s="227"/>
      <c r="L44" s="230"/>
      <c r="M44" s="229"/>
      <c r="N44" s="227"/>
      <c r="O44" s="365">
        <f aca="true" t="shared" si="3" ref="O44:P47">+ROUND(+F44+I44+L44,0)</f>
        <v>100802</v>
      </c>
      <c r="P44" s="378">
        <f t="shared" si="3"/>
        <v>3549006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94779</v>
      </c>
      <c r="G45" s="231">
        <v>156844</v>
      </c>
      <c r="H45" s="15"/>
      <c r="I45" s="232"/>
      <c r="J45" s="231">
        <v>-31391</v>
      </c>
      <c r="K45" s="227"/>
      <c r="L45" s="232"/>
      <c r="M45" s="231"/>
      <c r="N45" s="227"/>
      <c r="O45" s="360">
        <f t="shared" si="3"/>
        <v>94779</v>
      </c>
      <c r="P45" s="412">
        <f t="shared" si="3"/>
        <v>125453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250</v>
      </c>
      <c r="C46" s="152"/>
      <c r="D46" s="153"/>
      <c r="E46" s="15"/>
      <c r="F46" s="232">
        <v>0</v>
      </c>
      <c r="G46" s="231">
        <v>0</v>
      </c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47590</v>
      </c>
      <c r="G47" s="233">
        <v>65335</v>
      </c>
      <c r="H47" s="15"/>
      <c r="I47" s="234"/>
      <c r="J47" s="233"/>
      <c r="K47" s="227"/>
      <c r="L47" s="234"/>
      <c r="M47" s="233"/>
      <c r="N47" s="227"/>
      <c r="O47" s="361">
        <f t="shared" si="3"/>
        <v>47590</v>
      </c>
      <c r="P47" s="384">
        <f t="shared" si="3"/>
        <v>65335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250139</v>
      </c>
      <c r="G48" s="235">
        <f>+ROUND(+SUM(G44:G47),0)</f>
        <v>343096</v>
      </c>
      <c r="H48" s="15"/>
      <c r="I48" s="236">
        <f>+ROUND(+SUM(I44:I47),0)</f>
        <v>-6968</v>
      </c>
      <c r="J48" s="235">
        <f>+ROUND(+SUM(J44:J47),0)</f>
        <v>3396698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243171</v>
      </c>
      <c r="P48" s="363">
        <f>+ROUND(+SUM(P44:P47),0)</f>
        <v>3739794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28918052</v>
      </c>
      <c r="G50" s="257">
        <f>+ROUND(G25+G30+G37+G42+G48,0)</f>
        <v>23163735</v>
      </c>
      <c r="H50" s="15"/>
      <c r="I50" s="258">
        <f>+ROUND(I25+I30+I37+I42+I48,0)</f>
        <v>20671</v>
      </c>
      <c r="J50" s="257">
        <f>+ROUND(J25+J30+J37+J42+J48,0)</f>
        <v>3396698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28938723</v>
      </c>
      <c r="P50" s="380">
        <f>+ROUND(P25+P30+P37+P42+P48,0)</f>
        <v>26560433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331159900</v>
      </c>
      <c r="G53" s="259">
        <v>314322539</v>
      </c>
      <c r="H53" s="15"/>
      <c r="I53" s="260">
        <v>2194066</v>
      </c>
      <c r="J53" s="259">
        <v>8240237</v>
      </c>
      <c r="K53" s="227"/>
      <c r="L53" s="260"/>
      <c r="M53" s="259"/>
      <c r="N53" s="227"/>
      <c r="O53" s="366">
        <f aca="true" t="shared" si="4" ref="O53:P57">+ROUND(+F53+I53+L53,0)</f>
        <v>333353966</v>
      </c>
      <c r="P53" s="359">
        <f t="shared" si="4"/>
        <v>322562776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1661490</v>
      </c>
      <c r="G54" s="233">
        <v>2172562</v>
      </c>
      <c r="H54" s="15"/>
      <c r="I54" s="234">
        <v>105</v>
      </c>
      <c r="J54" s="233">
        <v>58</v>
      </c>
      <c r="K54" s="227"/>
      <c r="L54" s="234"/>
      <c r="M54" s="233"/>
      <c r="N54" s="227"/>
      <c r="O54" s="361">
        <f t="shared" si="4"/>
        <v>1661595</v>
      </c>
      <c r="P54" s="384">
        <f t="shared" si="4"/>
        <v>2172620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2613414</v>
      </c>
      <c r="G55" s="233">
        <v>1774980</v>
      </c>
      <c r="H55" s="15"/>
      <c r="I55" s="234">
        <v>160</v>
      </c>
      <c r="J55" s="233">
        <v>0</v>
      </c>
      <c r="K55" s="227"/>
      <c r="L55" s="234"/>
      <c r="M55" s="233"/>
      <c r="N55" s="227"/>
      <c r="O55" s="361">
        <f t="shared" si="4"/>
        <v>2613574</v>
      </c>
      <c r="P55" s="384">
        <f t="shared" si="4"/>
        <v>1774980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317409688</v>
      </c>
      <c r="G56" s="233">
        <v>338488668</v>
      </c>
      <c r="H56" s="15"/>
      <c r="I56" s="234">
        <v>979670</v>
      </c>
      <c r="J56" s="233">
        <v>32330034</v>
      </c>
      <c r="K56" s="227"/>
      <c r="L56" s="234"/>
      <c r="M56" s="233"/>
      <c r="N56" s="227"/>
      <c r="O56" s="361">
        <f t="shared" si="4"/>
        <v>318389358</v>
      </c>
      <c r="P56" s="384">
        <f t="shared" si="4"/>
        <v>370818702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61033617</v>
      </c>
      <c r="G57" s="233">
        <v>63945108</v>
      </c>
      <c r="H57" s="15"/>
      <c r="I57" s="234">
        <v>101525</v>
      </c>
      <c r="J57" s="233">
        <v>6180492</v>
      </c>
      <c r="K57" s="227"/>
      <c r="L57" s="234"/>
      <c r="M57" s="233"/>
      <c r="N57" s="227"/>
      <c r="O57" s="361">
        <f t="shared" si="4"/>
        <v>61135142</v>
      </c>
      <c r="P57" s="384">
        <f t="shared" si="4"/>
        <v>70125600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713878109</v>
      </c>
      <c r="G58" s="261">
        <f>+ROUND(+SUM(G53:G57),0)</f>
        <v>720703857</v>
      </c>
      <c r="H58" s="15"/>
      <c r="I58" s="262">
        <f>+ROUND(+SUM(I53:I57),0)</f>
        <v>3275526</v>
      </c>
      <c r="J58" s="261">
        <f>+ROUND(+SUM(J53:J57),0)</f>
        <v>46750821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717153635</v>
      </c>
      <c r="P58" s="382">
        <f>+ROUND(+SUM(P53:P57),0)</f>
        <v>767454678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>
        <v>0</v>
      </c>
      <c r="G60" s="259"/>
      <c r="H60" s="15"/>
      <c r="I60" s="260">
        <v>0</v>
      </c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2251735</v>
      </c>
      <c r="G61" s="233">
        <v>5840052</v>
      </c>
      <c r="H61" s="15"/>
      <c r="I61" s="234">
        <v>5952150</v>
      </c>
      <c r="J61" s="233">
        <v>36008914</v>
      </c>
      <c r="K61" s="227"/>
      <c r="L61" s="234"/>
      <c r="M61" s="233"/>
      <c r="N61" s="227"/>
      <c r="O61" s="361">
        <f t="shared" si="5"/>
        <v>8203885</v>
      </c>
      <c r="P61" s="384">
        <f t="shared" si="5"/>
        <v>41848966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307789</v>
      </c>
      <c r="G62" s="233">
        <v>1594830</v>
      </c>
      <c r="H62" s="15"/>
      <c r="I62" s="234">
        <v>136800</v>
      </c>
      <c r="J62" s="233"/>
      <c r="K62" s="227"/>
      <c r="L62" s="234"/>
      <c r="M62" s="233"/>
      <c r="N62" s="227"/>
      <c r="O62" s="361">
        <f t="shared" si="5"/>
        <v>444589</v>
      </c>
      <c r="P62" s="384">
        <f t="shared" si="5"/>
        <v>1594830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251</v>
      </c>
      <c r="C63" s="154"/>
      <c r="D63" s="155"/>
      <c r="E63" s="15"/>
      <c r="F63" s="264">
        <v>0</v>
      </c>
      <c r="G63" s="263"/>
      <c r="H63" s="15"/>
      <c r="I63" s="264">
        <v>0</v>
      </c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2559524</v>
      </c>
      <c r="G65" s="261">
        <f>+ROUND(+SUM(G60:G63),0)</f>
        <v>7434882</v>
      </c>
      <c r="H65" s="15"/>
      <c r="I65" s="262">
        <f>+ROUND(+SUM(I60:I63),0)</f>
        <v>6088950</v>
      </c>
      <c r="J65" s="261">
        <f>+ROUND(+SUM(J60:J63),0)</f>
        <v>36008914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8648474</v>
      </c>
      <c r="P65" s="382">
        <f>+ROUND(+SUM(P60:P63),0)</f>
        <v>43443796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252</v>
      </c>
      <c r="C67" s="156"/>
      <c r="D67" s="157"/>
      <c r="E67" s="15"/>
      <c r="F67" s="260">
        <v>0</v>
      </c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>
        <v>4150</v>
      </c>
      <c r="G68" s="233">
        <v>345617</v>
      </c>
      <c r="H68" s="15"/>
      <c r="I68" s="234"/>
      <c r="J68" s="233"/>
      <c r="K68" s="227"/>
      <c r="L68" s="234"/>
      <c r="M68" s="233"/>
      <c r="N68" s="227"/>
      <c r="O68" s="361">
        <f>+ROUND(+F68+I68+L68,0)</f>
        <v>4150</v>
      </c>
      <c r="P68" s="384">
        <f>+ROUND(+G68+J68+M68,0)</f>
        <v>345617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4150</v>
      </c>
      <c r="G69" s="261">
        <f>+ROUND(+SUM(G67:G68),0)</f>
        <v>345617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4150</v>
      </c>
      <c r="P69" s="382">
        <f>+ROUND(+SUM(P67:P68),0)</f>
        <v>345617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16785892</v>
      </c>
      <c r="G71" s="259">
        <v>19499084</v>
      </c>
      <c r="H71" s="15"/>
      <c r="I71" s="260">
        <v>1477512</v>
      </c>
      <c r="J71" s="259">
        <v>1275890</v>
      </c>
      <c r="K71" s="227"/>
      <c r="L71" s="260"/>
      <c r="M71" s="259"/>
      <c r="N71" s="227"/>
      <c r="O71" s="366">
        <f>+ROUND(+F71+I71+L71,0)</f>
        <v>18263404</v>
      </c>
      <c r="P71" s="359">
        <f>+ROUND(+G71+J71+M71,0)</f>
        <v>20774974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>
        <v>0</v>
      </c>
      <c r="G72" s="233"/>
      <c r="H72" s="15"/>
      <c r="I72" s="234">
        <v>0</v>
      </c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16785892</v>
      </c>
      <c r="G73" s="261">
        <f>+ROUND(+SUM(G71:G72),0)</f>
        <v>19499084</v>
      </c>
      <c r="H73" s="15"/>
      <c r="I73" s="262">
        <f>+ROUND(+SUM(I71:I72),0)</f>
        <v>1477512</v>
      </c>
      <c r="J73" s="261">
        <f>+ROUND(+SUM(J71:J72),0)</f>
        <v>1275890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18263404</v>
      </c>
      <c r="P73" s="382">
        <f>+ROUND(+SUM(P71:P72),0)</f>
        <v>20774974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213604582</v>
      </c>
      <c r="G75" s="259">
        <v>178329330</v>
      </c>
      <c r="H75" s="15"/>
      <c r="I75" s="260">
        <v>-88274</v>
      </c>
      <c r="J75" s="259">
        <v>16134249</v>
      </c>
      <c r="K75" s="227"/>
      <c r="L75" s="260"/>
      <c r="M75" s="259"/>
      <c r="N75" s="227"/>
      <c r="O75" s="366">
        <f>+ROUND(+F75+I75+L75,0)</f>
        <v>213516308</v>
      </c>
      <c r="P75" s="359">
        <f>+ROUND(+G75+J75+M75,0)</f>
        <v>194463579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>
        <v>60475612</v>
      </c>
      <c r="G76" s="233">
        <v>43076489</v>
      </c>
      <c r="H76" s="15"/>
      <c r="I76" s="234">
        <v>1867192</v>
      </c>
      <c r="J76" s="233"/>
      <c r="K76" s="227"/>
      <c r="L76" s="234"/>
      <c r="M76" s="233"/>
      <c r="N76" s="227"/>
      <c r="O76" s="361">
        <f>+ROUND(+F76+I76+L76,0)</f>
        <v>62342804</v>
      </c>
      <c r="P76" s="384">
        <f>+ROUND(+G76+J76+M76,0)</f>
        <v>43076489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274080194</v>
      </c>
      <c r="G77" s="261">
        <f>+ROUND(+SUM(G75:G76),0)</f>
        <v>221405819</v>
      </c>
      <c r="H77" s="15"/>
      <c r="I77" s="262">
        <f>+ROUND(+SUM(I75:I76),0)</f>
        <v>1778918</v>
      </c>
      <c r="J77" s="261">
        <f>+ROUND(+SUM(J75:J76),0)</f>
        <v>16134249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275859112</v>
      </c>
      <c r="P77" s="382">
        <f>+ROUND(+SUM(P75:P76),0)</f>
        <v>237540068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257</v>
      </c>
      <c r="C79" s="183"/>
      <c r="D79" s="184"/>
      <c r="E79" s="15"/>
      <c r="F79" s="269">
        <f>+ROUND(F58+F65+F69+F73+F77,0)</f>
        <v>1007307869</v>
      </c>
      <c r="G79" s="272">
        <f>+ROUND(G58+G65+G69+G73+G77,0)</f>
        <v>969389259</v>
      </c>
      <c r="H79" s="15"/>
      <c r="I79" s="269">
        <f>+ROUND(I58+I65+I69+I73+I77,0)</f>
        <v>12620906</v>
      </c>
      <c r="J79" s="272">
        <f>+ROUND(J58+J65+J69+J73+J77,0)</f>
        <v>100169874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1019928775</v>
      </c>
      <c r="P79" s="392">
        <f>+ROUND(P58+P65+P69+P73+P77,0)</f>
        <v>1069559133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256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963564830</v>
      </c>
      <c r="G81" s="229">
        <v>941542821</v>
      </c>
      <c r="H81" s="15"/>
      <c r="I81" s="230">
        <v>61698753</v>
      </c>
      <c r="J81" s="229">
        <v>142174530</v>
      </c>
      <c r="K81" s="227"/>
      <c r="L81" s="230"/>
      <c r="M81" s="229"/>
      <c r="N81" s="227"/>
      <c r="O81" s="365">
        <f>+ROUND(+F81+I81+L81,0)</f>
        <v>1025263583</v>
      </c>
      <c r="P81" s="378">
        <f>+ROUND(+G81+J81+M81,0)</f>
        <v>1083717351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0</v>
      </c>
      <c r="G82" s="233"/>
      <c r="H82" s="15"/>
      <c r="I82" s="234">
        <v>-48048873</v>
      </c>
      <c r="J82" s="233">
        <v>-99126616</v>
      </c>
      <c r="K82" s="227"/>
      <c r="L82" s="234"/>
      <c r="M82" s="233"/>
      <c r="N82" s="227"/>
      <c r="O82" s="361">
        <f>+ROUND(+F82+I82+L82,0)</f>
        <v>-48048873</v>
      </c>
      <c r="P82" s="384">
        <f>+ROUND(+G82+J82+M82,0)</f>
        <v>-99126616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258</v>
      </c>
      <c r="C83" s="142"/>
      <c r="D83" s="143"/>
      <c r="E83" s="15"/>
      <c r="F83" s="271">
        <f>+ROUND(F81+F82,0)</f>
        <v>963564830</v>
      </c>
      <c r="G83" s="270">
        <f>+ROUND(G81+G82,0)</f>
        <v>941542821</v>
      </c>
      <c r="H83" s="15"/>
      <c r="I83" s="271">
        <f>+ROUND(I81+I82,0)</f>
        <v>13649880</v>
      </c>
      <c r="J83" s="270">
        <f>+ROUND(J81+J82,0)</f>
        <v>43047914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977214710</v>
      </c>
      <c r="P83" s="387">
        <f>+ROUND(P81+P82,0)</f>
        <v>984590735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259</v>
      </c>
      <c r="C85" s="138"/>
      <c r="D85" s="139"/>
      <c r="E85" s="15"/>
      <c r="F85" s="292">
        <f>+ROUND(F50,0)-ROUND(F79,0)+ROUND(F83,0)</f>
        <v>-14824987</v>
      </c>
      <c r="G85" s="291">
        <f>+ROUND(G50,0)-ROUND(G79,0)+ROUND(G83,0)</f>
        <v>-4682703</v>
      </c>
      <c r="H85" s="15"/>
      <c r="I85" s="292">
        <f>+ROUND(I50,0)-ROUND(I79,0)+ROUND(I83,0)</f>
        <v>1049645</v>
      </c>
      <c r="J85" s="291">
        <f>+ROUND(J50,0)-ROUND(J79,0)+ROUND(J83,0)</f>
        <v>-53725262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-13775342</v>
      </c>
      <c r="P85" s="389">
        <f>+ROUND(P50,0)-ROUND(P79,0)+ROUND(P83,0)</f>
        <v>-58407965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14824987</v>
      </c>
      <c r="G86" s="293">
        <f>+ROUND(G103,0)+ROUND(G122,0)+ROUND(G129,0)-ROUND(G134,0)</f>
        <v>4682703</v>
      </c>
      <c r="H86" s="15"/>
      <c r="I86" s="294">
        <f>+ROUND(I103,0)+ROUND(I122,0)+ROUND(I129,0)-ROUND(I134,0)</f>
        <v>-1049645</v>
      </c>
      <c r="J86" s="293">
        <f>+ROUND(J103,0)+ROUND(J122,0)+ROUND(J129,0)-ROUND(J134,0)</f>
        <v>53725262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13775342</v>
      </c>
      <c r="P86" s="391">
        <f>+ROUND(P103,0)+ROUND(P122,0)+ROUND(P129,0)-ROUND(P134,0)</f>
        <v>58407965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>
        <v>-33500000</v>
      </c>
      <c r="G89" s="231">
        <v>-50000000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-33500000</v>
      </c>
      <c r="P89" s="412">
        <f>+ROUND(+G89+J89+M89,0)</f>
        <v>-50000000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253</v>
      </c>
      <c r="C90" s="154"/>
      <c r="D90" s="155"/>
      <c r="E90" s="15"/>
      <c r="F90" s="234">
        <v>0</v>
      </c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260</v>
      </c>
      <c r="C91" s="145"/>
      <c r="D91" s="146"/>
      <c r="E91" s="15"/>
      <c r="F91" s="236">
        <f>+ROUND(+SUM(F89:F90),0)</f>
        <v>-33500000</v>
      </c>
      <c r="G91" s="235">
        <f>+ROUND(+SUM(G89:G90),0)</f>
        <v>-50000000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-33500000</v>
      </c>
      <c r="P91" s="363">
        <f>+ROUND(+SUM(P89:P90),0)</f>
        <v>-50000000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>
        <v>0</v>
      </c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>
        <v>539815</v>
      </c>
      <c r="G94" s="233">
        <v>2155556</v>
      </c>
      <c r="H94" s="15"/>
      <c r="I94" s="234"/>
      <c r="J94" s="233"/>
      <c r="K94" s="227"/>
      <c r="L94" s="234"/>
      <c r="M94" s="233"/>
      <c r="N94" s="227"/>
      <c r="O94" s="361">
        <f t="shared" si="6"/>
        <v>539815</v>
      </c>
      <c r="P94" s="384">
        <f t="shared" si="6"/>
        <v>2155556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>
        <v>0</v>
      </c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>
        <v>0</v>
      </c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261</v>
      </c>
      <c r="C97" s="145"/>
      <c r="D97" s="146"/>
      <c r="E97" s="15"/>
      <c r="F97" s="236">
        <f>+ROUND(+SUM(F93:F96),0)</f>
        <v>539815</v>
      </c>
      <c r="G97" s="235">
        <f>+ROUND(+SUM(G93:G96),0)</f>
        <v>2155556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539815</v>
      </c>
      <c r="P97" s="363">
        <f>+ROUND(+SUM(P93:P96),0)</f>
        <v>2155556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0</v>
      </c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9809</v>
      </c>
      <c r="G100" s="233">
        <v>1859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9809</v>
      </c>
      <c r="P100" s="384">
        <f>+ROUND(+G100+J100+M100,0)</f>
        <v>1859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9809</v>
      </c>
      <c r="G101" s="235">
        <f>+ROUND(+SUM(G99:G100),0)</f>
        <v>1859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9809</v>
      </c>
      <c r="P101" s="363">
        <f>+ROUND(+SUM(P99:P100),0)</f>
        <v>1859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-32950376</v>
      </c>
      <c r="G103" s="257">
        <f>+ROUND(G91+G97+G101,0)</f>
        <v>-47842585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-32950376</v>
      </c>
      <c r="P103" s="380">
        <f>+ROUND(P91+P97+P101,0)</f>
        <v>-47842585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-130706</v>
      </c>
      <c r="G118" s="259">
        <v>142482</v>
      </c>
      <c r="H118" s="15"/>
      <c r="I118" s="260"/>
      <c r="J118" s="259"/>
      <c r="K118" s="227"/>
      <c r="L118" s="260">
        <v>-54125443</v>
      </c>
      <c r="M118" s="259">
        <v>-257326223</v>
      </c>
      <c r="N118" s="227"/>
      <c r="O118" s="366">
        <f>+ROUND(+F118+I118+L118,0)</f>
        <v>-54256149</v>
      </c>
      <c r="P118" s="359">
        <f>+ROUND(+G118+J118+M118,0)</f>
        <v>-257183741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-778220</v>
      </c>
      <c r="G119" s="233">
        <v>755910</v>
      </c>
      <c r="H119" s="15"/>
      <c r="I119" s="234"/>
      <c r="J119" s="233"/>
      <c r="K119" s="227"/>
      <c r="L119" s="234">
        <v>0</v>
      </c>
      <c r="M119" s="233"/>
      <c r="N119" s="227"/>
      <c r="O119" s="361">
        <f>+ROUND(+F119+I119+L119,0)</f>
        <v>-778220</v>
      </c>
      <c r="P119" s="384">
        <f>+ROUND(+G119+J119+M119,0)</f>
        <v>755910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-908926</v>
      </c>
      <c r="G120" s="261">
        <f>+ROUND(+SUM(G118:G119),0)</f>
        <v>898392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-54125443</v>
      </c>
      <c r="M120" s="261">
        <f>+ROUND(+SUM(M118:M119),0)</f>
        <v>-257326223</v>
      </c>
      <c r="N120" s="227"/>
      <c r="O120" s="381">
        <f>+ROUND(+SUM(O118:O119),0)</f>
        <v>-55034369</v>
      </c>
      <c r="P120" s="382">
        <f>+ROUND(+SUM(P118:P119),0)</f>
        <v>-256427831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-908926</v>
      </c>
      <c r="G122" s="272">
        <f>+ROUND(G108+G112+G116+G120,0)</f>
        <v>898392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-54125443</v>
      </c>
      <c r="M122" s="272">
        <f>+ROUND(M108+M112+M116+M120,0)</f>
        <v>-257326223</v>
      </c>
      <c r="N122" s="227"/>
      <c r="O122" s="385">
        <f>+ROUND(O108+O112+O116+O120,0)</f>
        <v>-55034369</v>
      </c>
      <c r="P122" s="392">
        <f>+ROUND(P108+P112+P116+P120,0)</f>
        <v>-256427831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>
        <v>0</v>
      </c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49094307</v>
      </c>
      <c r="G125" s="233">
        <v>51748628</v>
      </c>
      <c r="H125" s="15"/>
      <c r="I125" s="234">
        <v>-1041187</v>
      </c>
      <c r="J125" s="233">
        <v>53709545</v>
      </c>
      <c r="K125" s="227"/>
      <c r="L125" s="234">
        <v>573</v>
      </c>
      <c r="M125" s="233">
        <v>82568017</v>
      </c>
      <c r="N125" s="227"/>
      <c r="O125" s="361">
        <f t="shared" si="7"/>
        <v>48053693</v>
      </c>
      <c r="P125" s="384">
        <f t="shared" si="7"/>
        <v>188026190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-339156</v>
      </c>
      <c r="G126" s="233">
        <v>-15717</v>
      </c>
      <c r="H126" s="15"/>
      <c r="I126" s="234">
        <v>-8458</v>
      </c>
      <c r="J126" s="233">
        <v>15717</v>
      </c>
      <c r="K126" s="227"/>
      <c r="L126" s="234">
        <v>0</v>
      </c>
      <c r="M126" s="233"/>
      <c r="N126" s="227"/>
      <c r="O126" s="361">
        <f t="shared" si="7"/>
        <v>-347614</v>
      </c>
      <c r="P126" s="384">
        <f t="shared" si="7"/>
        <v>0</v>
      </c>
      <c r="Q126" s="31"/>
      <c r="R126" s="736" t="s">
        <v>287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282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283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48755151</v>
      </c>
      <c r="G129" s="270">
        <f>+ROUND(+SUM(G124,G125,G126,G128),0)</f>
        <v>51732911</v>
      </c>
      <c r="H129" s="15"/>
      <c r="I129" s="271">
        <f>+ROUND(+SUM(I124,I125,I126,I128),0)</f>
        <v>-1049645</v>
      </c>
      <c r="J129" s="270">
        <f>+ROUND(+SUM(J124,J125,J126,J128),0)</f>
        <v>53725262</v>
      </c>
      <c r="K129" s="227"/>
      <c r="L129" s="271">
        <f>+ROUND(+SUM(L124,L125,L126,L128),0)</f>
        <v>573</v>
      </c>
      <c r="M129" s="270">
        <f>+ROUND(+SUM(M124,M125,M126,M128),0)</f>
        <v>82568017</v>
      </c>
      <c r="N129" s="227"/>
      <c r="O129" s="386">
        <f>+ROUND(+SUM(O124,O125,O126,O128),0)</f>
        <v>47706079</v>
      </c>
      <c r="P129" s="387">
        <f>+ROUND(+SUM(P124,P125,P126,P128),0)</f>
        <v>188026190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293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2458803</v>
      </c>
      <c r="G131" s="229">
        <v>2328131</v>
      </c>
      <c r="H131" s="15"/>
      <c r="I131" s="230"/>
      <c r="J131" s="229"/>
      <c r="K131" s="227"/>
      <c r="L131" s="230">
        <v>142714426</v>
      </c>
      <c r="M131" s="229">
        <v>317472477</v>
      </c>
      <c r="N131" s="227"/>
      <c r="O131" s="365">
        <f aca="true" t="shared" si="8" ref="O131:P133">+ROUND(+F131+I131+L131,0)</f>
        <v>145173229</v>
      </c>
      <c r="P131" s="378">
        <f t="shared" si="8"/>
        <v>319800608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292</v>
      </c>
      <c r="C132" s="152"/>
      <c r="D132" s="153"/>
      <c r="E132" s="15"/>
      <c r="F132" s="234">
        <v>40931</v>
      </c>
      <c r="G132" s="233">
        <v>24657</v>
      </c>
      <c r="H132" s="15"/>
      <c r="I132" s="234"/>
      <c r="J132" s="233"/>
      <c r="K132" s="227"/>
      <c r="L132" s="234">
        <v>376</v>
      </c>
      <c r="M132" s="233">
        <v>155</v>
      </c>
      <c r="N132" s="227"/>
      <c r="O132" s="361">
        <f t="shared" si="8"/>
        <v>41307</v>
      </c>
      <c r="P132" s="384">
        <f t="shared" si="8"/>
        <v>24812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2570596</v>
      </c>
      <c r="G133" s="233">
        <v>2458803</v>
      </c>
      <c r="H133" s="15"/>
      <c r="I133" s="234"/>
      <c r="J133" s="233"/>
      <c r="K133" s="227"/>
      <c r="L133" s="234">
        <v>88589932</v>
      </c>
      <c r="M133" s="233">
        <v>142714426</v>
      </c>
      <c r="N133" s="227"/>
      <c r="O133" s="361">
        <f t="shared" si="8"/>
        <v>91160528</v>
      </c>
      <c r="P133" s="384">
        <f t="shared" si="8"/>
        <v>145173229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294</v>
      </c>
      <c r="C134" s="178"/>
      <c r="D134" s="179"/>
      <c r="E134" s="15"/>
      <c r="F134" s="276">
        <f>+ROUND(+F133-F131-F132,0)</f>
        <v>70862</v>
      </c>
      <c r="G134" s="275">
        <f>+ROUND(+G133-G131-G132,0)</f>
        <v>106015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-54124870</v>
      </c>
      <c r="M134" s="275">
        <f>+ROUND(+M133-M131-M132,0)</f>
        <v>-174758206</v>
      </c>
      <c r="N134" s="227"/>
      <c r="O134" s="394">
        <f>+ROUND(+O133-O131-O132,0)</f>
        <v>-54054008</v>
      </c>
      <c r="P134" s="395">
        <f>+ROUND(+P133-P131-P132,0)</f>
        <v>-174652191</v>
      </c>
      <c r="Q134" s="31"/>
      <c r="R134" s="712" t="s">
        <v>296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295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290</v>
      </c>
      <c r="C137" s="156"/>
      <c r="D137" s="157"/>
      <c r="E137" s="15"/>
      <c r="F137" s="230"/>
      <c r="G137" s="229">
        <v>2761360</v>
      </c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2761360</v>
      </c>
      <c r="Q137" s="31"/>
      <c r="R137" s="801" t="s">
        <v>322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298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319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291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807" t="s">
        <v>318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323</v>
      </c>
      <c r="C140" s="178"/>
      <c r="D140" s="179"/>
      <c r="E140" s="15"/>
      <c r="F140" s="276">
        <f>+ROUND(+F139-F137-F138,0)</f>
        <v>0</v>
      </c>
      <c r="G140" s="275">
        <f>+ROUND(+G139-G137-G138,0)</f>
        <v>-2761360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-2761360</v>
      </c>
      <c r="Q140" s="31"/>
      <c r="R140" s="810" t="s">
        <v>297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302</v>
      </c>
      <c r="C142" s="536"/>
      <c r="D142" s="537"/>
      <c r="E142" s="15"/>
      <c r="F142" s="538">
        <f>+F134+F140</f>
        <v>70862</v>
      </c>
      <c r="G142" s="539">
        <f>+G134+G140</f>
        <v>-2655345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-54124870</v>
      </c>
      <c r="M142" s="539">
        <f>+M134+M140</f>
        <v>-174758206</v>
      </c>
      <c r="N142" s="227"/>
      <c r="O142" s="394">
        <f>+O134+O140</f>
        <v>-54054008</v>
      </c>
      <c r="P142" s="395">
        <f>+P134+P140</f>
        <v>-177413551</v>
      </c>
      <c r="Q142" s="31"/>
      <c r="R142" s="813" t="s">
        <v>299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20122022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 t="s">
        <v>459</v>
      </c>
      <c r="G148" s="817"/>
      <c r="H148" s="817"/>
      <c r="I148" s="818"/>
      <c r="J148" s="346"/>
      <c r="K148" s="16"/>
      <c r="L148" s="346" t="s">
        <v>234</v>
      </c>
      <c r="M148" s="816" t="s">
        <v>462</v>
      </c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273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274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275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276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327</v>
      </c>
      <c r="G159" s="569" t="s">
        <v>327</v>
      </c>
      <c r="I159" s="571" t="s">
        <v>324</v>
      </c>
      <c r="J159" s="573" t="s">
        <v>324</v>
      </c>
      <c r="K159" s="11"/>
      <c r="L159" s="574" t="s">
        <v>325</v>
      </c>
      <c r="M159" s="575" t="s">
        <v>325</v>
      </c>
      <c r="N159" s="11"/>
      <c r="O159" s="587" t="s">
        <v>326</v>
      </c>
      <c r="P159" s="588" t="s">
        <v>326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332</v>
      </c>
      <c r="C160" s="566"/>
      <c r="D160" s="567"/>
      <c r="F160" s="579">
        <f>+F133+F139</f>
        <v>2570596</v>
      </c>
      <c r="G160" s="580">
        <f>+G133+G139</f>
        <v>2458803</v>
      </c>
      <c r="I160" s="579">
        <f>+I133+I139</f>
        <v>0</v>
      </c>
      <c r="J160" s="580">
        <f>+J133+J139</f>
        <v>0</v>
      </c>
      <c r="K160" s="227"/>
      <c r="L160" s="579">
        <f>+L133+L139</f>
        <v>88589932</v>
      </c>
      <c r="M160" s="580">
        <f>+M133+M139</f>
        <v>142714426</v>
      </c>
      <c r="N160" s="227"/>
      <c r="O160" s="583">
        <f>+ROUND(+F160+I160+L160,0)</f>
        <v>91160528</v>
      </c>
      <c r="P160" s="584">
        <f>+ROUND(+G160+J160+M160,0)</f>
        <v>145173229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328</v>
      </c>
      <c r="C161" s="797">
        <f>+'Cash-Flow-2022-Leva'!P5</f>
        <v>2022</v>
      </c>
      <c r="D161" s="798"/>
      <c r="F161" s="576">
        <v>2570596</v>
      </c>
      <c r="G161" s="577">
        <v>2458803</v>
      </c>
      <c r="I161" s="576"/>
      <c r="J161" s="577"/>
      <c r="K161" s="227"/>
      <c r="L161" s="576">
        <v>88589931</v>
      </c>
      <c r="M161" s="577">
        <v>142714426</v>
      </c>
      <c r="N161" s="227"/>
      <c r="O161" s="585">
        <f>+ROUND(+F161+I161+L161,0)</f>
        <v>91160527</v>
      </c>
      <c r="P161" s="586">
        <f>+ROUND(+G161+J161+M161,0)</f>
        <v>145173229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30.11.2022 г.</v>
      </c>
      <c r="G162" s="570">
        <f>+G11</f>
        <v>2021</v>
      </c>
      <c r="I162" s="609" t="str">
        <f>+I11</f>
        <v>30.11.2022 г.</v>
      </c>
      <c r="J162" s="572">
        <f>+J11</f>
        <v>2021</v>
      </c>
      <c r="K162" s="11"/>
      <c r="L162" s="610" t="str">
        <f>+L11</f>
        <v>30.11.2022 г.</v>
      </c>
      <c r="M162" s="575">
        <f>+M11</f>
        <v>2021</v>
      </c>
      <c r="N162" s="11"/>
      <c r="O162" s="611" t="str">
        <f>+O11</f>
        <v>30.11.2022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329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1</v>
      </c>
      <c r="M164" s="112">
        <f>+M160-M161</f>
        <v>0</v>
      </c>
      <c r="N164" s="10"/>
      <c r="O164" s="500">
        <f>+O160-O161</f>
        <v>1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333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>
        <v>-1</v>
      </c>
      <c r="M165" s="114"/>
      <c r="N165" s="10"/>
      <c r="O165" s="502">
        <v>-1</v>
      </c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330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331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20:L123 K118 K126 K125 K133 K131 K119 K12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view="pageBreakPreview" zoomScale="60" zoomScalePageLayoutView="0" workbookViewId="0" topLeftCell="A1">
      <pane xSplit="5" ySplit="12" topLeftCell="F12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7" sqref="C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ПРБ МИНИСТЕРСТВО НА ЗДРАВЕОПАЗВАНЕТО</v>
      </c>
      <c r="C1" s="830"/>
      <c r="D1" s="830"/>
      <c r="E1" s="830"/>
      <c r="F1" s="831"/>
      <c r="G1" s="438" t="s">
        <v>244</v>
      </c>
      <c r="H1" s="121"/>
      <c r="I1" s="832">
        <f>+'Cash-Flow-2022-Leva'!I1:J1</f>
        <v>695317</v>
      </c>
      <c r="J1" s="833"/>
      <c r="K1" s="439"/>
      <c r="L1" s="440" t="s">
        <v>245</v>
      </c>
      <c r="M1" s="441">
        <f>+'Cash-Flow-2022-Leva'!M1</f>
        <v>1600</v>
      </c>
      <c r="N1" s="439"/>
      <c r="O1" s="440" t="s">
        <v>239</v>
      </c>
      <c r="P1" s="451">
        <f>+'Cash-Flow-2022-Leva'!P1</f>
        <v>0</v>
      </c>
      <c r="Q1" s="444"/>
      <c r="R1" s="448" t="s">
        <v>233</v>
      </c>
      <c r="S1" s="834">
        <f>+'Cash-Flow-2022-Leva'!$S$1</f>
        <v>1600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гр. София, пл."Света Неделя"№ 5</v>
      </c>
      <c r="C3" s="840"/>
      <c r="D3" s="840"/>
      <c r="E3" s="840"/>
      <c r="F3" s="841"/>
      <c r="G3" s="445" t="s">
        <v>238</v>
      </c>
      <c r="H3" s="842">
        <f>+'Cash-Flow-2022-Leva'!H3</f>
        <v>0</v>
      </c>
      <c r="I3" s="843"/>
      <c r="J3" s="843"/>
      <c r="K3" s="844"/>
      <c r="L3" s="51" t="s">
        <v>246</v>
      </c>
      <c r="M3" s="845">
        <f>+'Cash-Flow-2022-Leva'!M3:P3</f>
        <v>0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ПРБ МИНИСТЕРСТВО НА ЗДРАВЕОПАЗВАНЕТО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30.11.2022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30.11.2022 г.</v>
      </c>
      <c r="G11" s="396">
        <f>+'Cash-Flow-2022-Leva'!G11</f>
        <v>2021</v>
      </c>
      <c r="H11" s="5"/>
      <c r="I11" s="604" t="str">
        <f>+O8</f>
        <v>30.11.2022 г.</v>
      </c>
      <c r="J11" s="397">
        <f>+'Cash-Flow-2022-Leva'!J11</f>
        <v>2021</v>
      </c>
      <c r="K11" s="5"/>
      <c r="L11" s="605" t="str">
        <f>+O8</f>
        <v>30.11.2022 г.</v>
      </c>
      <c r="M11" s="398">
        <f>+'Cash-Flow-2022-Leva'!M11</f>
        <v>2021</v>
      </c>
      <c r="N11" s="464"/>
      <c r="O11" s="606" t="str">
        <f>+O8</f>
        <v>30.11.2022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284</v>
      </c>
      <c r="C16" s="152"/>
      <c r="D16" s="153"/>
      <c r="E16" s="277"/>
      <c r="F16" s="268">
        <f>+'Cash-Flow-2022-Leva'!F16/1000</f>
        <v>27535.699</v>
      </c>
      <c r="G16" s="267">
        <f>+'Cash-Flow-2022-Leva'!G16/1000</f>
        <v>31460.866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27535.699</v>
      </c>
      <c r="P16" s="384">
        <f t="shared" si="1"/>
        <v>31460.866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286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1360.557</v>
      </c>
      <c r="G18" s="255">
        <f>+'Cash-Flow-2022-Leva'!G18/1000</f>
        <v>2538.926</v>
      </c>
      <c r="H18" s="277"/>
      <c r="I18" s="256">
        <f>+'Cash-Flow-2022-Leva'!I18/1000</f>
        <v>23.465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1384.022</v>
      </c>
      <c r="P18" s="378">
        <f t="shared" si="1"/>
        <v>2538.926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5882.63</v>
      </c>
      <c r="G19" s="278">
        <f>+'Cash-Flow-2022-Leva'!G19/1000</f>
        <v>7396.762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5882.63</v>
      </c>
      <c r="P19" s="412">
        <f t="shared" si="1"/>
        <v>7396.762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332.963</v>
      </c>
      <c r="G20" s="278">
        <f>+'Cash-Flow-2022-Leva'!G20/1000</f>
        <v>331.823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332.963</v>
      </c>
      <c r="P20" s="412">
        <f t="shared" si="1"/>
        <v>331.823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0.651</v>
      </c>
      <c r="G22" s="278">
        <f>+'Cash-Flow-2022-Leva'!G22/1000</f>
        <v>0.01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0.651</v>
      </c>
      <c r="P22" s="412">
        <f t="shared" si="1"/>
        <v>0.01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53.74</v>
      </c>
      <c r="G24" s="267">
        <f>+'Cash-Flow-2022-Leva'!G24/1000</f>
        <v>3076.048</v>
      </c>
      <c r="H24" s="277"/>
      <c r="I24" s="268">
        <f>+'Cash-Flow-2022-Leva'!I24/1000</f>
        <v>4.174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57.914</v>
      </c>
      <c r="P24" s="384">
        <f t="shared" si="1"/>
        <v>3076.048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35166.24</v>
      </c>
      <c r="G25" s="235">
        <f>+SUM(G15,G16,G18,G19,G20,G21,G22,G23,G24)</f>
        <v>44804.435000000005</v>
      </c>
      <c r="H25" s="277"/>
      <c r="I25" s="236">
        <f>+SUM(I15,I16,I18,I19,I20,I21,I22,I23,I24)</f>
        <v>27.639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35193.879</v>
      </c>
      <c r="P25" s="363">
        <f>+SUM(P15,P16,P18,P19,P20,P21,P22,P23,P24)</f>
        <v>44804.435000000005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82.292</v>
      </c>
      <c r="G28" s="278">
        <f>+'Cash-Flow-2022-Leva'!G28/1000</f>
        <v>103.188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82.292</v>
      </c>
      <c r="P28" s="412">
        <f t="shared" si="2"/>
        <v>103.188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254</v>
      </c>
      <c r="C30" s="145"/>
      <c r="D30" s="146"/>
      <c r="E30" s="277"/>
      <c r="F30" s="236">
        <f>+SUM(F27:F29)</f>
        <v>82.292</v>
      </c>
      <c r="G30" s="235">
        <f>+SUM(G27:G29)</f>
        <v>103.188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82.292</v>
      </c>
      <c r="P30" s="363">
        <f>+SUM(P27:P29)</f>
        <v>103.188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255</v>
      </c>
      <c r="C37" s="145"/>
      <c r="D37" s="146"/>
      <c r="E37" s="277"/>
      <c r="F37" s="236">
        <f>+'Cash-Flow-2022-Leva'!F37/1000</f>
        <v>-6726.234</v>
      </c>
      <c r="G37" s="235">
        <f>+'Cash-Flow-2022-Leva'!G37/1000</f>
        <v>-22392.66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-6726.234</v>
      </c>
      <c r="P37" s="363">
        <f t="shared" si="3"/>
        <v>-22392.66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-6416.856</v>
      </c>
      <c r="G38" s="280">
        <f>+'Cash-Flow-2022-Leva'!G38/1000</f>
        <v>-22067.363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-6416.856</v>
      </c>
      <c r="P38" s="413">
        <f t="shared" si="3"/>
        <v>-22067.363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-27.932</v>
      </c>
      <c r="G39" s="282">
        <f>+'Cash-Flow-2022-Leva'!G39/1000</f>
        <v>-42.717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-27.932</v>
      </c>
      <c r="P39" s="414">
        <f t="shared" si="3"/>
        <v>-42.717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145.615</v>
      </c>
      <c r="G42" s="235">
        <f>+'Cash-Flow-2022-Leva'!G42/1000</f>
        <v>305.676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145.615</v>
      </c>
      <c r="P42" s="363">
        <f>+G42+J42+M42</f>
        <v>305.676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107.77</v>
      </c>
      <c r="G44" s="255">
        <f>+'Cash-Flow-2022-Leva'!G44/1000</f>
        <v>120.917</v>
      </c>
      <c r="H44" s="277"/>
      <c r="I44" s="256">
        <f>+'Cash-Flow-2022-Leva'!I44/1000</f>
        <v>-6.968</v>
      </c>
      <c r="J44" s="255">
        <f>+'Cash-Flow-2022-Leva'!J44/1000</f>
        <v>3428.089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100.80199999999999</v>
      </c>
      <c r="P44" s="378">
        <f t="shared" si="4"/>
        <v>3549.006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94.779</v>
      </c>
      <c r="G45" s="278">
        <f>+'Cash-Flow-2022-Leva'!G45/1000</f>
        <v>156.844</v>
      </c>
      <c r="H45" s="277"/>
      <c r="I45" s="279">
        <f>+'Cash-Flow-2022-Leva'!I45/1000</f>
        <v>0</v>
      </c>
      <c r="J45" s="278">
        <f>+'Cash-Flow-2022-Leva'!J45/1000</f>
        <v>-31.391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94.779</v>
      </c>
      <c r="P45" s="412">
        <f t="shared" si="4"/>
        <v>125.453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250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47.59</v>
      </c>
      <c r="G47" s="267">
        <f>+'Cash-Flow-2022-Leva'!G47/1000</f>
        <v>65.335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47.59</v>
      </c>
      <c r="P47" s="384">
        <f t="shared" si="4"/>
        <v>65.335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250.13899999999998</v>
      </c>
      <c r="G48" s="235">
        <f>+SUM(G44:G47)</f>
        <v>343.09599999999995</v>
      </c>
      <c r="H48" s="277"/>
      <c r="I48" s="236">
        <f>+SUM(I44:I47)</f>
        <v>-6.968</v>
      </c>
      <c r="J48" s="235">
        <f>+SUM(J44:J47)</f>
        <v>3396.698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243.171</v>
      </c>
      <c r="P48" s="363">
        <f>+SUM(P44:P47)</f>
        <v>3739.794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28918.052</v>
      </c>
      <c r="G50" s="257">
        <f>+G25+G30+G37+G42+G48</f>
        <v>23163.735000000008</v>
      </c>
      <c r="H50" s="277"/>
      <c r="I50" s="258">
        <f>+I25+I30+I37+I42+I48</f>
        <v>20.671</v>
      </c>
      <c r="J50" s="257">
        <f>+J25+J30+J37+J42+J48</f>
        <v>3396.698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28938.723</v>
      </c>
      <c r="P50" s="380">
        <f>+P25+P30+P37+P42+P48</f>
        <v>26560.433000000005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331159.9</v>
      </c>
      <c r="G53" s="228">
        <f>+'Cash-Flow-2022-Leva'!G53/1000</f>
        <v>314322.539</v>
      </c>
      <c r="H53" s="277"/>
      <c r="I53" s="238">
        <f>+'Cash-Flow-2022-Leva'!I53/1000</f>
        <v>2194.066</v>
      </c>
      <c r="J53" s="228">
        <f>+'Cash-Flow-2022-Leva'!J53/1000</f>
        <v>8240.237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333353.966</v>
      </c>
      <c r="P53" s="359">
        <f t="shared" si="5"/>
        <v>322562.776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1661.49</v>
      </c>
      <c r="G54" s="267">
        <f>+'Cash-Flow-2022-Leva'!G54/1000</f>
        <v>2172.562</v>
      </c>
      <c r="H54" s="277"/>
      <c r="I54" s="268">
        <f>+'Cash-Flow-2022-Leva'!I54/1000</f>
        <v>0.105</v>
      </c>
      <c r="J54" s="267">
        <f>+'Cash-Flow-2022-Leva'!J54/1000</f>
        <v>0.058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1661.595</v>
      </c>
      <c r="P54" s="384">
        <f t="shared" si="5"/>
        <v>2172.62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2613.414</v>
      </c>
      <c r="G55" s="267">
        <f>+'Cash-Flow-2022-Leva'!G55/1000</f>
        <v>1774.98</v>
      </c>
      <c r="H55" s="277"/>
      <c r="I55" s="268">
        <f>+'Cash-Flow-2022-Leva'!I55/1000</f>
        <v>0.16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2613.574</v>
      </c>
      <c r="P55" s="384">
        <f t="shared" si="5"/>
        <v>1774.98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317409.688</v>
      </c>
      <c r="G56" s="267">
        <f>+'Cash-Flow-2022-Leva'!G56/1000</f>
        <v>338488.668</v>
      </c>
      <c r="H56" s="277"/>
      <c r="I56" s="268">
        <f>+'Cash-Flow-2022-Leva'!I56/1000</f>
        <v>979.67</v>
      </c>
      <c r="J56" s="267">
        <f>+'Cash-Flow-2022-Leva'!J56/1000</f>
        <v>32330.034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318389.358</v>
      </c>
      <c r="P56" s="384">
        <f t="shared" si="5"/>
        <v>370818.702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61033.617</v>
      </c>
      <c r="G57" s="267">
        <f>+'Cash-Flow-2022-Leva'!G57/1000</f>
        <v>63945.108</v>
      </c>
      <c r="H57" s="277"/>
      <c r="I57" s="268">
        <f>+'Cash-Flow-2022-Leva'!I57/1000</f>
        <v>101.525</v>
      </c>
      <c r="J57" s="267">
        <f>+'Cash-Flow-2022-Leva'!J57/1000</f>
        <v>6180.492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61135.142</v>
      </c>
      <c r="P57" s="384">
        <f t="shared" si="5"/>
        <v>70125.6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713878.109</v>
      </c>
      <c r="G58" s="261">
        <f>+SUM(G53:G57)</f>
        <v>720703.857</v>
      </c>
      <c r="H58" s="277"/>
      <c r="I58" s="262">
        <f>+SUM(I53:I57)</f>
        <v>3275.526</v>
      </c>
      <c r="J58" s="261">
        <f>+SUM(J53:J57)</f>
        <v>46750.820999999996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717153.635</v>
      </c>
      <c r="P58" s="382">
        <f>+SUM(P53:P57)</f>
        <v>767454.678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2251.735</v>
      </c>
      <c r="G61" s="267">
        <f>+'Cash-Flow-2022-Leva'!G61/1000</f>
        <v>5840.052</v>
      </c>
      <c r="H61" s="277"/>
      <c r="I61" s="268">
        <f>+'Cash-Flow-2022-Leva'!I61/1000</f>
        <v>5952.15</v>
      </c>
      <c r="J61" s="267">
        <f>+'Cash-Flow-2022-Leva'!J61/1000</f>
        <v>36008.914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8203.885</v>
      </c>
      <c r="P61" s="384">
        <f t="shared" si="6"/>
        <v>41848.966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307.789</v>
      </c>
      <c r="G62" s="267">
        <f>+'Cash-Flow-2022-Leva'!G62/1000</f>
        <v>1594.83</v>
      </c>
      <c r="H62" s="277"/>
      <c r="I62" s="268">
        <f>+'Cash-Flow-2022-Leva'!I62/1000</f>
        <v>136.8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444.589</v>
      </c>
      <c r="P62" s="384">
        <f t="shared" si="6"/>
        <v>1594.83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251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2559.5240000000003</v>
      </c>
      <c r="G65" s="261">
        <f>+SUM(G60:G63)</f>
        <v>7434.882</v>
      </c>
      <c r="H65" s="277"/>
      <c r="I65" s="262">
        <f>+SUM(I60:I63)</f>
        <v>6088.95</v>
      </c>
      <c r="J65" s="261">
        <f>+SUM(J60:J63)</f>
        <v>36008.914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8648.474</v>
      </c>
      <c r="P65" s="382">
        <f>+SUM(P60:P63)</f>
        <v>43443.796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252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4.15</v>
      </c>
      <c r="G68" s="267">
        <f>+'Cash-Flow-2022-Leva'!G68/1000</f>
        <v>345.617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4.15</v>
      </c>
      <c r="P68" s="384">
        <f>+G68+J68+M68</f>
        <v>345.617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4.15</v>
      </c>
      <c r="G69" s="261">
        <f>+SUM(G67:G68)</f>
        <v>345.617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4.15</v>
      </c>
      <c r="P69" s="382">
        <f>+SUM(P67:P68)</f>
        <v>345.617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16785.892</v>
      </c>
      <c r="G71" s="228">
        <f>+'Cash-Flow-2022-Leva'!G71/1000</f>
        <v>19499.084</v>
      </c>
      <c r="H71" s="277"/>
      <c r="I71" s="238">
        <f>+'Cash-Flow-2022-Leva'!I71/1000</f>
        <v>1477.512</v>
      </c>
      <c r="J71" s="228">
        <f>+'Cash-Flow-2022-Leva'!J71/1000</f>
        <v>1275.89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18263.404</v>
      </c>
      <c r="P71" s="359">
        <f>+G71+J71+M71</f>
        <v>20774.974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16785.892</v>
      </c>
      <c r="G73" s="261">
        <f>+SUM(G71:G72)</f>
        <v>19499.084</v>
      </c>
      <c r="H73" s="277"/>
      <c r="I73" s="262">
        <f>+SUM(I71:I72)</f>
        <v>1477.512</v>
      </c>
      <c r="J73" s="261">
        <f>+SUM(J71:J72)</f>
        <v>1275.89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18263.404</v>
      </c>
      <c r="P73" s="382">
        <f>+SUM(P71:P72)</f>
        <v>20774.974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213604.582</v>
      </c>
      <c r="G75" s="228">
        <f>+'Cash-Flow-2022-Leva'!G75/1000</f>
        <v>178329.33</v>
      </c>
      <c r="H75" s="277"/>
      <c r="I75" s="238">
        <f>+'Cash-Flow-2022-Leva'!I75/1000</f>
        <v>-88.274</v>
      </c>
      <c r="J75" s="228">
        <f>+'Cash-Flow-2022-Leva'!J75/1000</f>
        <v>16134.249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213516.308</v>
      </c>
      <c r="P75" s="359">
        <f>+G75+J75+M75</f>
        <v>194463.579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60475.612</v>
      </c>
      <c r="G76" s="267">
        <f>+'Cash-Flow-2022-Leva'!G76/1000</f>
        <v>43076.489</v>
      </c>
      <c r="H76" s="277"/>
      <c r="I76" s="268">
        <f>+'Cash-Flow-2022-Leva'!I76/1000</f>
        <v>1867.192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62342.804000000004</v>
      </c>
      <c r="P76" s="384">
        <f>+G76+J76+M76</f>
        <v>43076.489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274080.194</v>
      </c>
      <c r="G77" s="261">
        <f>+SUM(G75:G76)</f>
        <v>221405.819</v>
      </c>
      <c r="H77" s="277"/>
      <c r="I77" s="262">
        <f>+SUM(I75:I76)</f>
        <v>1778.9180000000001</v>
      </c>
      <c r="J77" s="261">
        <f>+SUM(J75:J76)</f>
        <v>16134.249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275859.11199999996</v>
      </c>
      <c r="P77" s="382">
        <f>+SUM(P75:P76)</f>
        <v>237540.068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257</v>
      </c>
      <c r="C79" s="183"/>
      <c r="D79" s="184"/>
      <c r="E79" s="277"/>
      <c r="F79" s="269">
        <f>+F58+F65+F69+F73+F77</f>
        <v>1007307.8690000001</v>
      </c>
      <c r="G79" s="272">
        <f>+G58+G65+G69+G73+G77</f>
        <v>969389.259</v>
      </c>
      <c r="H79" s="277"/>
      <c r="I79" s="269">
        <f>+I58+I65+I69+I73+I77</f>
        <v>12620.905999999999</v>
      </c>
      <c r="J79" s="272">
        <f>+J58+J65+J69+J73+J77</f>
        <v>100169.87399999998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1019928.775</v>
      </c>
      <c r="P79" s="392">
        <f>+P58+P65+P69+P73+P77</f>
        <v>1069559.133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256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963564.83</v>
      </c>
      <c r="G81" s="255">
        <f>+'Cash-Flow-2022-Leva'!G81/1000</f>
        <v>941542.821</v>
      </c>
      <c r="H81" s="277"/>
      <c r="I81" s="256">
        <f>+'Cash-Flow-2022-Leva'!I81/1000</f>
        <v>61698.753</v>
      </c>
      <c r="J81" s="255">
        <f>+'Cash-Flow-2022-Leva'!J81/1000</f>
        <v>142174.53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1025263.583</v>
      </c>
      <c r="P81" s="378">
        <f>+G81+J81+M81</f>
        <v>1083717.351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-48048.873</v>
      </c>
      <c r="J82" s="267">
        <f>+'Cash-Flow-2022-Leva'!J82/1000</f>
        <v>-99126.616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-48048.873</v>
      </c>
      <c r="P82" s="384">
        <f>+G82+J82+M82</f>
        <v>-99126.616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258</v>
      </c>
      <c r="C83" s="142"/>
      <c r="D83" s="143"/>
      <c r="E83" s="277"/>
      <c r="F83" s="271">
        <f>+F81+F82</f>
        <v>963564.83</v>
      </c>
      <c r="G83" s="270">
        <f>+G81+G82</f>
        <v>941542.821</v>
      </c>
      <c r="H83" s="277"/>
      <c r="I83" s="271">
        <f>+I81+I82</f>
        <v>13649.879999999997</v>
      </c>
      <c r="J83" s="270">
        <f>+J81+J82</f>
        <v>43047.914000000004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977214.71</v>
      </c>
      <c r="P83" s="387">
        <f>+P81+P82</f>
        <v>984590.735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259</v>
      </c>
      <c r="C85" s="138"/>
      <c r="D85" s="139"/>
      <c r="E85" s="277"/>
      <c r="F85" s="292">
        <f>+F50-F79+F83</f>
        <v>-14824.987000000081</v>
      </c>
      <c r="G85" s="291">
        <f>+G50-G79+G83</f>
        <v>-4682.7029999999795</v>
      </c>
      <c r="H85" s="277"/>
      <c r="I85" s="292">
        <f>+I50-I79+I83</f>
        <v>1049.6449999999986</v>
      </c>
      <c r="J85" s="291">
        <f>+J50-J79+J83</f>
        <v>-53725.26199999997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-13775.342000000062</v>
      </c>
      <c r="P85" s="389">
        <f>+P50-P79+P83</f>
        <v>-58407.96499999997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14824.987000000001</v>
      </c>
      <c r="G86" s="293">
        <f>+G103+G122+G129-G134</f>
        <v>4682.702999999993</v>
      </c>
      <c r="H86" s="277"/>
      <c r="I86" s="294">
        <f>+I103+I122+I129-I134</f>
        <v>-1049.645</v>
      </c>
      <c r="J86" s="293">
        <f>+J103+J122+J129-J134</f>
        <v>53725.261999999995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13775.34199999999</v>
      </c>
      <c r="P86" s="391">
        <f>+P103+P122+P129-P134</f>
        <v>58407.965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-33500</v>
      </c>
      <c r="G89" s="278">
        <f>+'Cash-Flow-2022-Leva'!G89/1000</f>
        <v>-50000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-33500</v>
      </c>
      <c r="P89" s="412">
        <f>+G89+J89+M89</f>
        <v>-50000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253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260</v>
      </c>
      <c r="C91" s="145"/>
      <c r="D91" s="146"/>
      <c r="E91" s="277"/>
      <c r="F91" s="236">
        <f>+SUM(F89:F90)</f>
        <v>-33500</v>
      </c>
      <c r="G91" s="235">
        <f>+SUM(G89:G90)</f>
        <v>-50000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-33500</v>
      </c>
      <c r="P91" s="363">
        <f>+SUM(P89:P90)</f>
        <v>-50000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539.815</v>
      </c>
      <c r="G94" s="267">
        <f>+'Cash-Flow-2022-Leva'!G94/1000</f>
        <v>2155.556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539.815</v>
      </c>
      <c r="P94" s="384">
        <f t="shared" si="7"/>
        <v>2155.556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261</v>
      </c>
      <c r="C97" s="145"/>
      <c r="D97" s="146"/>
      <c r="E97" s="277"/>
      <c r="F97" s="236">
        <f>+SUM(F93:F96)</f>
        <v>539.815</v>
      </c>
      <c r="G97" s="235">
        <f>+SUM(G93:G96)</f>
        <v>2155.556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539.815</v>
      </c>
      <c r="P97" s="363">
        <f>+SUM(P93:P96)</f>
        <v>2155.556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9.809</v>
      </c>
      <c r="G100" s="267">
        <f>+'Cash-Flow-2022-Leva'!G100/1000</f>
        <v>1.859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9.809</v>
      </c>
      <c r="P100" s="384">
        <f>+G100+J100+M100</f>
        <v>1.859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9.809</v>
      </c>
      <c r="G101" s="235">
        <f>+SUM(G99:G100)</f>
        <v>1.859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9.809</v>
      </c>
      <c r="P101" s="363">
        <f>+SUM(P99:P100)</f>
        <v>1.859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-32950.376</v>
      </c>
      <c r="G103" s="257">
        <f>+G91+G97+G101</f>
        <v>-47842.58500000001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-32950.376</v>
      </c>
      <c r="P103" s="380">
        <f>+P91+P97+P101</f>
        <v>-47842.58500000001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-130.706</v>
      </c>
      <c r="G118" s="228">
        <f>+'Cash-Flow-2022-Leva'!G118/1000</f>
        <v>142.482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-54125.443</v>
      </c>
      <c r="M118" s="228">
        <f>+'Cash-Flow-2022-Leva'!M118/1000</f>
        <v>-257326.223</v>
      </c>
      <c r="N118" s="465"/>
      <c r="O118" s="366">
        <f>+F118+I118+L118</f>
        <v>-54256.149</v>
      </c>
      <c r="P118" s="359">
        <f>+G118+J118+M118</f>
        <v>-257183.741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-778.22</v>
      </c>
      <c r="G119" s="267">
        <f>+'Cash-Flow-2022-Leva'!G119/1000</f>
        <v>755.91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-778.22</v>
      </c>
      <c r="P119" s="384">
        <f>+G119+J119+M119</f>
        <v>755.91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-908.926</v>
      </c>
      <c r="G120" s="261">
        <f>+SUM(G118:G119)</f>
        <v>898.3919999999999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-54125.443</v>
      </c>
      <c r="M120" s="261">
        <f>+SUM(M118:M119)</f>
        <v>-257326.223</v>
      </c>
      <c r="N120" s="465"/>
      <c r="O120" s="381">
        <f>+SUM(O118:O119)</f>
        <v>-55034.369</v>
      </c>
      <c r="P120" s="382">
        <f>+SUM(P118:P119)</f>
        <v>-256427.831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-908.926</v>
      </c>
      <c r="G122" s="272">
        <f>+G108+G112+G116+G120</f>
        <v>898.3919999999999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-54125.443</v>
      </c>
      <c r="M122" s="272">
        <f>+M108+M112+M116+M120</f>
        <v>-257326.223</v>
      </c>
      <c r="N122" s="465"/>
      <c r="O122" s="385">
        <f>+O108+O112+O116+O120</f>
        <v>-55034.369</v>
      </c>
      <c r="P122" s="392">
        <f>+P108+P112+P116+P120</f>
        <v>-256427.831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49094.307</v>
      </c>
      <c r="G125" s="267">
        <f>+'Cash-Flow-2022-Leva'!G125/1000</f>
        <v>51748.628</v>
      </c>
      <c r="H125" s="277"/>
      <c r="I125" s="268">
        <f>+'Cash-Flow-2022-Leva'!I125/1000</f>
        <v>-1041.187</v>
      </c>
      <c r="J125" s="267">
        <f>+'Cash-Flow-2022-Leva'!J125/1000</f>
        <v>53709.545</v>
      </c>
      <c r="K125" s="277"/>
      <c r="L125" s="268">
        <f>+'Cash-Flow-2022-Leva'!L125/1000</f>
        <v>0.573</v>
      </c>
      <c r="M125" s="267">
        <f>+'Cash-Flow-2022-Leva'!M125/1000</f>
        <v>82568.017</v>
      </c>
      <c r="N125" s="465"/>
      <c r="O125" s="361">
        <f t="shared" si="8"/>
        <v>48053.693</v>
      </c>
      <c r="P125" s="384">
        <f t="shared" si="8"/>
        <v>188026.19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-339.156</v>
      </c>
      <c r="G126" s="267">
        <f>+'Cash-Flow-2022-Leva'!G126/1000</f>
        <v>-15.717</v>
      </c>
      <c r="H126" s="277"/>
      <c r="I126" s="268">
        <f>+'Cash-Flow-2022-Leva'!I126/1000</f>
        <v>-8.458</v>
      </c>
      <c r="J126" s="267">
        <f>+'Cash-Flow-2022-Leva'!J126/1000</f>
        <v>15.717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-347.61400000000003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282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48755.151</v>
      </c>
      <c r="G129" s="270">
        <f>+SUM(G124,G125,G126,G128)</f>
        <v>51732.911</v>
      </c>
      <c r="H129" s="277"/>
      <c r="I129" s="271">
        <f>+SUM(I124,I125,I126,I128)</f>
        <v>-1049.645</v>
      </c>
      <c r="J129" s="270">
        <f>+SUM(J124,J125,J126,J128)</f>
        <v>53725.261999999995</v>
      </c>
      <c r="K129" s="277"/>
      <c r="L129" s="271">
        <f>+SUM(L124,L125,L126,L128)</f>
        <v>0.573</v>
      </c>
      <c r="M129" s="270">
        <f>+SUM(M124,M125,M126,M128)</f>
        <v>82568.017</v>
      </c>
      <c r="N129" s="465"/>
      <c r="O129" s="386">
        <f>+SUM(O124,O125,O126,O128)</f>
        <v>47706.079</v>
      </c>
      <c r="P129" s="387">
        <f>+SUM(P124,P125,P126,P128)</f>
        <v>188026.19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2458.803</v>
      </c>
      <c r="G131" s="255">
        <f>+'Cash-Flow-2022-Leva'!G131/1000</f>
        <v>2328.131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142714.426</v>
      </c>
      <c r="M131" s="255">
        <f>+'Cash-Flow-2022-Leva'!M131/1000</f>
        <v>317472.477</v>
      </c>
      <c r="N131" s="465"/>
      <c r="O131" s="365">
        <f aca="true" t="shared" si="9" ref="O131:P133">+F131+I131+L131</f>
        <v>145173.229</v>
      </c>
      <c r="P131" s="378">
        <f t="shared" si="9"/>
        <v>319800.608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292</v>
      </c>
      <c r="C132" s="152"/>
      <c r="D132" s="153"/>
      <c r="E132" s="277"/>
      <c r="F132" s="268">
        <f>+'Cash-Flow-2022-Leva'!F132/1000</f>
        <v>40.931</v>
      </c>
      <c r="G132" s="267">
        <f>+'Cash-Flow-2022-Leva'!G132/1000</f>
        <v>24.657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0.376</v>
      </c>
      <c r="M132" s="267">
        <f>+'Cash-Flow-2022-Leva'!M132/1000</f>
        <v>0.155</v>
      </c>
      <c r="N132" s="465"/>
      <c r="O132" s="361">
        <f t="shared" si="9"/>
        <v>41.306999999999995</v>
      </c>
      <c r="P132" s="384">
        <f t="shared" si="9"/>
        <v>24.812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2570.596</v>
      </c>
      <c r="G133" s="267">
        <f>+'Cash-Flow-2022-Leva'!G133/1000</f>
        <v>2458.803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88589.932</v>
      </c>
      <c r="M133" s="267">
        <f>+'Cash-Flow-2022-Leva'!M133/1000</f>
        <v>142714.426</v>
      </c>
      <c r="N133" s="465"/>
      <c r="O133" s="361">
        <f t="shared" si="9"/>
        <v>91160.528</v>
      </c>
      <c r="P133" s="384">
        <f t="shared" si="9"/>
        <v>145173.229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70.86200000000012</v>
      </c>
      <c r="G134" s="275">
        <f>+G133-G131-G132</f>
        <v>106.01500000000003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-54124.87</v>
      </c>
      <c r="M134" s="275">
        <f>+M133-M131-M132</f>
        <v>-174758.206</v>
      </c>
      <c r="N134" s="465"/>
      <c r="O134" s="394">
        <f>+O133-O131-O132</f>
        <v>-54054.00799999999</v>
      </c>
      <c r="P134" s="395">
        <f>+P133-P131-P132</f>
        <v>-174652.19100000002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295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290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2761.36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2761.36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298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291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323</v>
      </c>
      <c r="C140" s="178"/>
      <c r="D140" s="179"/>
      <c r="E140" s="277"/>
      <c r="F140" s="276">
        <f>+F139-F137-F138</f>
        <v>0</v>
      </c>
      <c r="G140" s="275">
        <f>+G139-G137-G138</f>
        <v>-2761.36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-2761.36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302</v>
      </c>
      <c r="C142" s="536"/>
      <c r="D142" s="537"/>
      <c r="E142" s="277"/>
      <c r="F142" s="276">
        <f>+F134+F140</f>
        <v>70.86200000000012</v>
      </c>
      <c r="G142" s="275">
        <f>+G134+G140</f>
        <v>-2655.3450000000003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-54124.87</v>
      </c>
      <c r="M142" s="539">
        <f>+M134+M140</f>
        <v>-174758.206</v>
      </c>
      <c r="N142" s="465"/>
      <c r="O142" s="563">
        <f>+O134+O140</f>
        <v>-54054.00799999999</v>
      </c>
      <c r="P142" s="564">
        <f>+P134+P140</f>
        <v>-177413.551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20122022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273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274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271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272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321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320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2023-01-04T14:31:10Z</dcterms:modified>
  <cp:category/>
  <cp:version/>
  <cp:contentType/>
  <cp:contentStatus/>
</cp:coreProperties>
</file>