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<sst xmlns="http://schemas.openxmlformats.org/spreadsheetml/2006/main" count="673" uniqueCount="458">
  <si>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</si>
  <si>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</si>
  <si>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</si>
  <si>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</si>
  <si>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</si>
  <si>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</si>
  <si>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</si>
  <si>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</si>
  <si>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</si>
  <si>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</si>
  <si>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</si>
  <si>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</si>
  <si>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</si>
  <si>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</si>
  <si>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</si>
  <si>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</si>
  <si>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</si>
  <si>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</si>
  <si>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</si>
  <si>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</si>
  <si>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</si>
  <si>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</si>
  <si>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</si>
  <si>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</si>
  <si>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</si>
  <si>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</si>
  <si>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</si>
  <si>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</si>
  <si>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</si>
  <si>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</si>
  <si>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</si>
  <si>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</si>
  <si>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</si>
  <si>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</si>
  <si>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</si>
  <si>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</si>
  <si>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</si>
  <si>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</si>
  <si>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</si>
  <si>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</si>
  <si>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</si>
  <si>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</si>
  <si>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</si>
  <si>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</si>
  <si>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</si>
  <si>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</si>
  <si>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</si>
  <si>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</si>
  <si>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</si>
  <si>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</si>
  <si>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</si>
  <si>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</si>
  <si>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</si>
  <si>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</si>
  <si>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</si>
  <si>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</si>
  <si>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</si>
  <si>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</si>
  <si>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</si>
  <si>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</si>
  <si>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</si>
  <si>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</si>
  <si>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</si>
  <si>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</si>
  <si>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</si>
  <si>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</si>
  <si>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</si>
  <si>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</si>
  <si>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</si>
  <si>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</si>
  <si>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</si>
  <si>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</si>
  <si>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</si>
  <si>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</si>
  <si>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</si>
  <si>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</si>
  <si>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</si>
  <si>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</si>
  <si>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</si>
  <si>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</si>
  <si>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</si>
  <si>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</si>
  <si>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</si>
  <si>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</si>
  <si>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</si>
  <si>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</si>
  <si>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</si>
  <si>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</si>
  <si>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</si>
  <si>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</si>
  <si>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</si>
  <si>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</si>
  <si>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</si>
  <si>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</si>
  <si>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</si>
  <si>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</si>
  <si>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</si>
  <si>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</si>
  <si>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</si>
  <si>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</si>
  <si>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</si>
  <si>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</si>
  <si>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</si>
  <si>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</si>
  <si>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</si>
  <si>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</si>
  <si>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</si>
  <si>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</si>
  <si>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</si>
  <si>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</si>
  <si>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</si>
  <si>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</si>
  <si>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</si>
  <si>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</si>
  <si>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</si>
  <si>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</si>
  <si>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</si>
  <si>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</si>
  <si>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</si>
  <si>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</si>
  <si>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</si>
  <si>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</si>
  <si>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</si>
  <si>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</si>
  <si>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</si>
  <si>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</si>
  <si>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</si>
  <si>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</si>
  <si>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</si>
  <si>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</si>
  <si>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</si>
  <si>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</si>
  <si>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</si>
  <si>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</si>
  <si>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</si>
  <si>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</si>
  <si>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</si>
  <si>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</si>
  <si>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</si>
  <si>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</si>
  <si>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</si>
  <si>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</si>
  <si>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</si>
  <si>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</si>
  <si>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</si>
  <si>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</si>
  <si>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</si>
  <si>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</si>
  <si>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</si>
  <si>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</si>
  <si>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</si>
  <si>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</si>
  <si>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</si>
  <si>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</si>
  <si>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</si>
  <si>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</si>
  <si>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</si>
  <si>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</si>
  <si>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</si>
  <si>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</si>
  <si>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</si>
  <si>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</si>
  <si>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</si>
  <si>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</si>
  <si>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</si>
  <si>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</si>
  <si>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</si>
  <si>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</si>
  <si>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</si>
  <si>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</si>
  <si>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</si>
  <si>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</si>
  <si>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</si>
  <si>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</si>
  <si>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</si>
  <si>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</si>
  <si>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</si>
  <si>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</si>
  <si>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</si>
  <si>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</si>
  <si>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</si>
  <si>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</si>
  <si>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</si>
  <si>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</si>
  <si>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</si>
  <si>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</si>
  <si>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</si>
  <si>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</si>
  <si>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</si>
  <si>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</si>
  <si>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</si>
  <si>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</si>
  <si>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</si>
  <si>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</si>
  <si>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</si>
  <si>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</si>
  <si>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</si>
  <si>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</si>
  <si>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</si>
  <si>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</si>
  <si>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</si>
  <si>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</si>
  <si>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</si>
  <si>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</si>
  <si>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</si>
  <si>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</si>
  <si>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</si>
  <si>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</si>
  <si>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</si>
  <si>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</si>
  <si>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</si>
  <si>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</si>
  <si>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</si>
  <si>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</si>
  <si>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</si>
  <si>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</si>
  <si>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</si>
  <si>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</si>
  <si>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</si>
  <si>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</si>
  <si>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</si>
  <si>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</si>
  <si>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</si>
  <si>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</si>
  <si>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</si>
  <si>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</si>
  <si>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</si>
  <si>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</si>
  <si>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</si>
  <si>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</si>
  <si>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</si>
  <si>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</si>
  <si>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</si>
  <si>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</si>
  <si>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</si>
  <si>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</si>
  <si>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</si>
  <si>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</si>
  <si>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</si>
  <si>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</si>
  <si>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</si>
  <si>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</si>
  <si>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</si>
  <si>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</si>
  <si>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</si>
  <si>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</si>
  <si>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</si>
  <si>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</si>
  <si>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</si>
  <si>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</si>
  <si>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</si>
  <si>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</si>
  <si>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</si>
  <si>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</si>
  <si>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</si>
  <si>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</si>
  <si>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</si>
  <si>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</si>
  <si>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</si>
  <si>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</si>
  <si>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</si>
  <si>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</si>
  <si>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</si>
  <si>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</si>
  <si>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</si>
  <si>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</si>
  <si>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</si>
  <si>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</si>
  <si>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</si>
  <si>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</si>
  <si>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</si>
  <si>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</si>
  <si>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</si>
  <si>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</si>
  <si>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</si>
  <si>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</si>
  <si>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</si>
  <si>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</si>
  <si>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</si>
  <si>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</si>
  <si>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</si>
  <si>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</si>
  <si>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</si>
  <si>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</si>
  <si>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</si>
  <si>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</si>
  <si>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</si>
  <si>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</si>
  <si>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</si>
  <si>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</si>
  <si>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</si>
  <si>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</si>
  <si>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</si>
  <si>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</si>
  <si>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</si>
  <si>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</si>
  <si>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</si>
  <si>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</si>
  <si>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</si>
  <si>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</si>
  <si>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</si>
  <si>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</si>
  <si>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</si>
  <si>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</si>
  <si>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</si>
  <si>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</si>
  <si>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</si>
  <si>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</si>
  <si>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</si>
  <si>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</si>
  <si>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</si>
  <si>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</si>
  <si>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</si>
  <si>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</si>
  <si>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</si>
  <si>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</si>
  <si>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</si>
  <si>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</si>
  <si>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</si>
  <si>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</si>
  <si>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</si>
  <si>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</si>
  <si>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</si>
  <si>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</si>
  <si>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</si>
  <si>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</si>
  <si>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</si>
  <si>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</si>
  <si>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</si>
  <si>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</si>
  <si>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</si>
  <si>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</si>
  <si>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</si>
  <si>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</si>
  <si>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</si>
  <si>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</si>
  <si>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</si>
  <si>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</si>
  <si>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</si>
  <si>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</si>
  <si>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</si>
  <si>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</si>
  <si>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</si>
  <si>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</si>
  <si>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</si>
  <si>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</si>
  <si>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</si>
  <si>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</si>
  <si>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</si>
  <si>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</si>
  <si>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</si>
  <si>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</si>
  <si>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</si>
  <si>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</si>
  <si>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</si>
  <si>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</si>
  <si>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</si>
  <si>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</si>
  <si>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</si>
  <si>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</si>
  <si>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</si>
  <si>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</si>
  <si>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</si>
  <si>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</si>
  <si>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</si>
  <si>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</si>
  <si>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</si>
  <si>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</si>
  <si>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</si>
  <si>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</si>
  <si>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</si>
  <si>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</si>
  <si>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</si>
  <si>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</si>
  <si>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</si>
  <si>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</si>
  <si>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</si>
  <si>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</si>
  <si>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</si>
  <si>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</si>
  <si>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</si>
  <si>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</si>
  <si>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</si>
  <si>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</si>
  <si>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</si>
  <si>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</si>
  <si>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</si>
  <si>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</si>
  <si>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</si>
  <si>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</si>
  <si>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</si>
  <si>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</si>
  <si>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</si>
  <si>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</si>
  <si>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</si>
  <si>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</si>
  <si>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</si>
  <si>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</si>
  <si>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</si>
  <si>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</si>
  <si>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</si>
  <si>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</si>
  <si>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</si>
  <si>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</si>
  <si>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</si>
  <si>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</si>
  <si>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</si>
  <si>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</si>
  <si>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</si>
  <si>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</si>
  <si>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</si>
  <si>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</si>
  <si>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</si>
  <si>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</si>
  <si>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</si>
  <si>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</si>
  <si>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</si>
  <si>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</si>
  <si>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</si>
  <si>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</si>
  <si>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</si>
  <si>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</si>
  <si>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</si>
  <si>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</si>
  <si>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</si>
  <si>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</si>
  <si>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</si>
  <si>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</si>
  <si>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</si>
  <si>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</si>
  <si>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</si>
  <si>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</si>
  <si>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</si>
  <si>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</si>
  <si>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</si>
  <si>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</si>
  <si>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</si>
  <si>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</si>
  <si>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</si>
  <si>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</si>
  <si>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</si>
  <si>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</si>
  <si>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</si>
  <si>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</si>
  <si>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</si>
  <si>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</si>
  <si>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</si>
  <si>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</si>
  <si>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</si>
  <si>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</si>
  <si>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</si>
  <si>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</si>
  <si>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</si>
  <si>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</si>
  <si>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</si>
  <si>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</si>
  <si>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</si>
  <si>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ПРОФ. КОСТАДИН АНГЕЛОВ, ДМН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</si>
</sst>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;[Red]\(#,##0.00\)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68" fontId="155" fillId="32" borderId="0" xfId="65" applyNumberFormat="1" applyFont="1" applyFill="1" applyAlignment="1" applyProtection="1">
      <alignment/>
      <protection/>
    </xf>
    <xf numFmtId="0" fontId="156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5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155" fillId="40" borderId="26" xfId="57" applyFont="1" applyFill="1" applyBorder="1">
      <alignment/>
      <protection/>
    </xf>
    <xf numFmtId="0" fontId="155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9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2" fillId="33" borderId="29" xfId="0" applyNumberFormat="1" applyFont="1" applyFill="1" applyBorder="1" applyAlignment="1" applyProtection="1">
      <alignment horizontal="center"/>
      <protection locked="0"/>
    </xf>
    <xf numFmtId="177" fontId="162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3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6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9" fillId="39" borderId="104" xfId="0" applyNumberFormat="1" applyFont="1" applyFill="1" applyBorder="1" applyAlignment="1" applyProtection="1" quotePrefix="1">
      <alignment horizontal="center"/>
      <protection/>
    </xf>
    <xf numFmtId="185" fontId="165" fillId="41" borderId="104" xfId="0" applyNumberFormat="1" applyFont="1" applyFill="1" applyBorder="1" applyAlignment="1" applyProtection="1" quotePrefix="1">
      <alignment horizontal="center"/>
      <protection/>
    </xf>
    <xf numFmtId="185" fontId="166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25" fillId="38" borderId="107" xfId="0" applyNumberFormat="1" applyFont="1" applyFill="1" applyBorder="1" applyAlignment="1" applyProtection="1">
      <alignment horizontal="center"/>
      <protection/>
    </xf>
    <xf numFmtId="176" fontId="167" fillId="38" borderId="106" xfId="0" applyNumberFormat="1" applyFont="1" applyFill="1" applyBorder="1" applyAlignment="1" applyProtection="1">
      <alignment horizontal="center"/>
      <protection/>
    </xf>
    <xf numFmtId="176" fontId="167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68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6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74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166" fontId="174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6" fillId="33" borderId="73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5" fillId="33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5" fillId="32" borderId="118" xfId="0" applyNumberFormat="1" applyFont="1" applyFill="1" applyBorder="1" applyAlignment="1" applyProtection="1" quotePrefix="1">
      <alignment/>
      <protection/>
    </xf>
    <xf numFmtId="168" fontId="176" fillId="32" borderId="34" xfId="0" applyNumberFormat="1" applyFont="1" applyFill="1" applyBorder="1" applyAlignment="1" applyProtection="1" quotePrefix="1">
      <alignment/>
      <protection/>
    </xf>
    <xf numFmtId="168" fontId="175" fillId="33" borderId="88" xfId="0" applyNumberFormat="1" applyFont="1" applyFill="1" applyBorder="1" applyAlignment="1" applyProtection="1" quotePrefix="1">
      <alignment/>
      <protection/>
    </xf>
    <xf numFmtId="168" fontId="176" fillId="33" borderId="89" xfId="0" applyNumberFormat="1" applyFont="1" applyFill="1" applyBorder="1" applyAlignment="1" applyProtection="1" quotePrefix="1">
      <alignment/>
      <protection/>
    </xf>
    <xf numFmtId="168" fontId="176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7" fillId="51" borderId="120" xfId="0" applyNumberFormat="1" applyFont="1" applyFill="1" applyBorder="1" applyAlignment="1" applyProtection="1">
      <alignment horizontal="center"/>
      <protection/>
    </xf>
    <xf numFmtId="176" fontId="178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181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25" fillId="38" borderId="122" xfId="0" applyNumberFormat="1" applyFont="1" applyFill="1" applyBorder="1" applyAlignment="1" applyProtection="1">
      <alignment horizontal="center"/>
      <protection/>
    </xf>
    <xf numFmtId="176" fontId="167" fillId="38" borderId="121" xfId="0" applyNumberFormat="1" applyFont="1" applyFill="1" applyBorder="1" applyAlignment="1" applyProtection="1">
      <alignment horizontal="center"/>
      <protection/>
    </xf>
    <xf numFmtId="176" fontId="167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2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8" fillId="32" borderId="0" xfId="0" applyNumberFormat="1" applyFont="1" applyFill="1" applyBorder="1" applyAlignment="1" applyProtection="1" quotePrefix="1">
      <alignment horizontal="center"/>
      <protection/>
    </xf>
    <xf numFmtId="168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74" fontId="184" fillId="39" borderId="29" xfId="0" applyNumberFormat="1" applyFont="1" applyFill="1" applyBorder="1" applyAlignment="1" applyProtection="1">
      <alignment horizontal="center"/>
      <protection/>
    </xf>
    <xf numFmtId="185" fontId="159" fillId="39" borderId="29" xfId="0" applyNumberFormat="1" applyFont="1" applyFill="1" applyBorder="1" applyAlignment="1" applyProtection="1" quotePrefix="1">
      <alignment horizontal="center"/>
      <protection/>
    </xf>
    <xf numFmtId="173" fontId="160" fillId="41" borderId="29" xfId="0" applyNumberFormat="1" applyFont="1" applyFill="1" applyBorder="1" applyAlignment="1" applyProtection="1" quotePrefix="1">
      <alignment horizontal="center"/>
      <protection/>
    </xf>
    <xf numFmtId="185" fontId="165" fillId="41" borderId="29" xfId="0" applyNumberFormat="1" applyFont="1" applyFill="1" applyBorder="1" applyAlignment="1" applyProtection="1" quotePrefix="1">
      <alignment horizontal="center"/>
      <protection/>
    </xf>
    <xf numFmtId="173" fontId="165" fillId="41" borderId="29" xfId="0" applyNumberFormat="1" applyFont="1" applyFill="1" applyBorder="1" applyAlignment="1" applyProtection="1" quotePrefix="1">
      <alignment horizontal="center"/>
      <protection/>
    </xf>
    <xf numFmtId="173" fontId="172" fillId="49" borderId="29" xfId="0" applyNumberFormat="1" applyFont="1" applyFill="1" applyBorder="1" applyAlignment="1" applyProtection="1" quotePrefix="1">
      <alignment horizontal="center"/>
      <protection/>
    </xf>
    <xf numFmtId="185" fontId="166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5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25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6" fillId="39" borderId="104" xfId="0" applyNumberFormat="1" applyFont="1" applyFill="1" applyBorder="1" applyAlignment="1" applyProtection="1" quotePrefix="1">
      <alignment horizontal="center"/>
      <protection/>
    </xf>
    <xf numFmtId="205" fontId="160" fillId="41" borderId="104" xfId="0" applyNumberFormat="1" applyFont="1" applyFill="1" applyBorder="1" applyAlignment="1" applyProtection="1" quotePrefix="1">
      <alignment horizontal="center"/>
      <protection/>
    </xf>
    <xf numFmtId="205" fontId="172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7" fillId="32" borderId="47" xfId="0" applyNumberFormat="1" applyFont="1" applyFill="1" applyBorder="1" applyAlignment="1" applyProtection="1">
      <alignment horizontal="center"/>
      <protection locked="0"/>
    </xf>
    <xf numFmtId="205" fontId="186" fillId="39" borderId="29" xfId="0" applyNumberFormat="1" applyFont="1" applyFill="1" applyBorder="1" applyAlignment="1" applyProtection="1">
      <alignment horizontal="center"/>
      <protection/>
    </xf>
    <xf numFmtId="205" fontId="160" fillId="41" borderId="29" xfId="0" applyNumberFormat="1" applyFont="1" applyFill="1" applyBorder="1" applyAlignment="1" applyProtection="1" quotePrefix="1">
      <alignment horizontal="center"/>
      <protection/>
    </xf>
    <xf numFmtId="205" fontId="172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8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70" fillId="33" borderId="0" xfId="57" applyNumberFormat="1" applyFont="1" applyFill="1" applyBorder="1" applyAlignment="1">
      <alignment/>
      <protection/>
    </xf>
    <xf numFmtId="172" fontId="70" fillId="38" borderId="0" xfId="57" applyNumberFormat="1" applyFont="1" applyFill="1" applyBorder="1" applyAlignment="1">
      <alignment/>
      <protection/>
    </xf>
    <xf numFmtId="204" fontId="70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70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70" fillId="32" borderId="20" xfId="57" applyNumberFormat="1" applyFont="1" applyFill="1" applyBorder="1">
      <alignment/>
      <protection/>
    </xf>
    <xf numFmtId="170" fontId="70" fillId="32" borderId="20" xfId="57" applyNumberFormat="1" applyFont="1" applyFill="1" applyBorder="1" applyAlignment="1">
      <alignment horizontal="left"/>
      <protection/>
    </xf>
    <xf numFmtId="202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70" fillId="33" borderId="0" xfId="57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70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70" fillId="38" borderId="0" xfId="57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7" fontId="156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70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70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201" fontId="191" fillId="32" borderId="0" xfId="0" applyNumberFormat="1" applyFont="1" applyFill="1" applyAlignment="1" applyProtection="1">
      <alignment horizontal="center"/>
      <protection/>
    </xf>
    <xf numFmtId="201" fontId="191" fillId="54" borderId="0" xfId="0" applyNumberFormat="1" applyFont="1" applyFill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182" fillId="43" borderId="45" xfId="65" applyNumberFormat="1" applyFont="1" applyFill="1" applyBorder="1" applyAlignment="1" applyProtection="1">
      <alignment horizontal="center"/>
      <protection/>
    </xf>
    <xf numFmtId="38" fontId="182" fillId="43" borderId="46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180" fontId="192" fillId="45" borderId="30" xfId="57" applyNumberFormat="1" applyFont="1" applyFill="1" applyBorder="1" applyAlignment="1" applyProtection="1">
      <alignment horizontal="center" vertical="center"/>
      <protection locked="0"/>
    </xf>
    <xf numFmtId="180" fontId="192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3" fillId="46" borderId="67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6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0" fontId="193" fillId="33" borderId="63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2" xfId="61" applyFont="1" applyFill="1" applyBorder="1" applyAlignment="1" applyProtection="1">
      <alignment horizontal="center"/>
      <protection/>
    </xf>
    <xf numFmtId="0" fontId="169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4" fillId="32" borderId="0" xfId="60" applyNumberFormat="1" applyFont="1" applyFill="1" applyBorder="1" applyAlignment="1" applyProtection="1">
      <alignment horizontal="center"/>
      <protection/>
    </xf>
    <xf numFmtId="0" fontId="156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181" fontId="156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6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30" xfId="53" applyFill="1" applyBorder="1" applyAlignment="1" applyProtection="1">
      <alignment horizontal="center" vertical="center"/>
      <protection locked="0"/>
    </xf>
    <xf numFmtId="0" fontId="195" fillId="36" borderId="45" xfId="53" applyFont="1" applyFill="1" applyBorder="1" applyAlignment="1" applyProtection="1">
      <alignment horizontal="center" vertical="center"/>
      <protection locked="0"/>
    </xf>
    <xf numFmtId="0" fontId="195" fillId="36" borderId="31" xfId="53" applyFont="1" applyFill="1" applyBorder="1" applyAlignment="1" applyProtection="1">
      <alignment horizontal="center" vertical="center"/>
      <protection locked="0"/>
    </xf>
    <xf numFmtId="38" fontId="145" fillId="33" borderId="30" xfId="53" applyNumberFormat="1" applyFill="1" applyBorder="1" applyAlignment="1" applyProtection="1">
      <alignment horizontal="center" vertical="center"/>
      <protection locked="0"/>
    </xf>
    <xf numFmtId="38" fontId="196" fillId="33" borderId="45" xfId="53" applyNumberFormat="1" applyFont="1" applyFill="1" applyBorder="1" applyAlignment="1" applyProtection="1">
      <alignment horizontal="center" vertical="center"/>
      <protection locked="0"/>
    </xf>
    <xf numFmtId="38" fontId="196" fillId="33" borderId="31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79" fontId="160" fillId="33" borderId="30" xfId="60" applyNumberFormat="1" applyFont="1" applyFill="1" applyBorder="1" applyAlignment="1" applyProtection="1">
      <alignment horizontal="center"/>
      <protection/>
    </xf>
    <xf numFmtId="179" fontId="160" fillId="33" borderId="45" xfId="60" applyNumberFormat="1" applyFont="1" applyFill="1" applyBorder="1" applyAlignment="1" applyProtection="1">
      <alignment horizontal="center"/>
      <protection/>
    </xf>
    <xf numFmtId="179" fontId="160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8" fillId="32" borderId="47" xfId="57" applyFont="1" applyFill="1" applyBorder="1" applyAlignment="1" applyProtection="1" quotePrefix="1">
      <alignment horizontal="center"/>
      <protection/>
    </xf>
    <xf numFmtId="0" fontId="199" fillId="38" borderId="28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200" fontId="200" fillId="48" borderId="45" xfId="65" applyNumberFormat="1" applyFont="1" applyFill="1" applyBorder="1" applyAlignment="1" applyProtection="1">
      <alignment horizontal="left"/>
      <protection/>
    </xf>
    <xf numFmtId="200" fontId="20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3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201" fillId="33" borderId="49" xfId="65" applyNumberFormat="1" applyFont="1" applyFill="1" applyBorder="1" applyAlignment="1" applyProtection="1">
      <alignment horizontal="center"/>
      <protection/>
    </xf>
    <xf numFmtId="38" fontId="201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201" fillId="33" borderId="51" xfId="65" applyNumberFormat="1" applyFont="1" applyFill="1" applyBorder="1" applyAlignment="1" applyProtection="1">
      <alignment horizontal="center"/>
      <protection/>
    </xf>
    <xf numFmtId="38" fontId="201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3" fillId="33" borderId="118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2" fontId="202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192" fillId="45" borderId="30" xfId="57" applyNumberFormat="1" applyFont="1" applyFill="1" applyBorder="1" applyAlignment="1" applyProtection="1">
      <alignment horizontal="center" vertical="center"/>
      <protection/>
    </xf>
    <xf numFmtId="180" fontId="192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3" fillId="36" borderId="30" xfId="53" applyFont="1" applyFill="1" applyBorder="1" applyAlignment="1" applyProtection="1">
      <alignment horizontal="center" vertical="center"/>
      <protection/>
    </xf>
    <xf numFmtId="0" fontId="203" fillId="36" borderId="45" xfId="53" applyFont="1" applyFill="1" applyBorder="1" applyAlignment="1" applyProtection="1">
      <alignment horizontal="center" vertical="center"/>
      <protection/>
    </xf>
    <xf numFmtId="0" fontId="203" fillId="36" borderId="31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5.7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5.7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">
      <c r="O267" s="605"/>
      <c r="P267" s="605"/>
      <c r="Q267" s="605"/>
      <c r="R267" s="605"/>
      <c r="S267" s="605"/>
      <c r="T267" s="605"/>
      <c r="U267" s="605"/>
    </row>
    <row r="268" spans="15:21" ht="15">
      <c r="O268" s="605"/>
      <c r="P268" s="605"/>
      <c r="Q268" s="605"/>
      <c r="R268" s="605"/>
      <c r="S268" s="605"/>
      <c r="T268" s="605"/>
      <c r="U268" s="605"/>
    </row>
    <row r="269" spans="15:21" ht="15">
      <c r="O269" s="605"/>
      <c r="P269" s="605"/>
      <c r="Q269" s="605"/>
      <c r="R269" s="605"/>
      <c r="S269" s="605"/>
      <c r="T269" s="605"/>
      <c r="U269" s="605"/>
    </row>
    <row r="270" spans="15:21" ht="15">
      <c r="O270" s="605"/>
      <c r="P270" s="605"/>
      <c r="Q270" s="605"/>
      <c r="R270" s="605"/>
      <c r="S270" s="605"/>
      <c r="T270" s="605"/>
      <c r="U270" s="605"/>
    </row>
    <row r="271" spans="15:21" ht="15">
      <c r="O271" s="605"/>
      <c r="P271" s="605"/>
      <c r="Q271" s="605"/>
      <c r="R271" s="605"/>
      <c r="S271" s="605"/>
      <c r="T271" s="605"/>
      <c r="U271" s="605"/>
    </row>
    <row r="272" spans="15:21" ht="15">
      <c r="O272" s="605"/>
      <c r="P272" s="605"/>
      <c r="Q272" s="605"/>
      <c r="R272" s="605"/>
      <c r="S272" s="605"/>
      <c r="T272" s="605"/>
      <c r="U272" s="605"/>
    </row>
    <row r="273" spans="15:21" ht="15">
      <c r="O273" s="605"/>
      <c r="P273" s="605"/>
      <c r="Q273" s="605"/>
      <c r="R273" s="605"/>
      <c r="S273" s="605"/>
      <c r="T273" s="605"/>
      <c r="U273" s="605"/>
    </row>
    <row r="274" spans="15:21" ht="15">
      <c r="O274" s="605"/>
      <c r="P274" s="605"/>
      <c r="Q274" s="605"/>
      <c r="R274" s="605"/>
      <c r="S274" s="605"/>
      <c r="T274" s="605"/>
      <c r="U274" s="605"/>
    </row>
    <row r="275" spans="15:21" ht="15">
      <c r="O275" s="605"/>
      <c r="P275" s="605"/>
      <c r="Q275" s="605"/>
      <c r="R275" s="605"/>
      <c r="S275" s="605"/>
      <c r="T275" s="605"/>
      <c r="U275" s="605"/>
    </row>
    <row r="276" spans="15:21" ht="15">
      <c r="O276" s="605"/>
      <c r="P276" s="605"/>
      <c r="Q276" s="605"/>
      <c r="R276" s="605"/>
      <c r="S276" s="605"/>
      <c r="T276" s="605"/>
      <c r="U276" s="605"/>
    </row>
    <row r="277" spans="15:21" ht="15">
      <c r="O277" s="605"/>
      <c r="P277" s="605"/>
      <c r="Q277" s="605"/>
      <c r="R277" s="605"/>
      <c r="S277" s="605"/>
      <c r="T277" s="605"/>
      <c r="U277" s="605"/>
    </row>
    <row r="278" spans="15:21" ht="1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61" sqref="L16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455</v>
      </c>
      <c r="C1" s="771"/>
      <c r="D1" s="771"/>
      <c r="E1" s="771"/>
      <c r="F1" s="772"/>
      <c r="G1" s="436" t="s">
        <v>244</v>
      </c>
      <c r="H1" s="429"/>
      <c r="I1" s="758">
        <v>695317</v>
      </c>
      <c r="J1" s="759"/>
      <c r="K1" s="430"/>
      <c r="L1" s="438" t="s">
        <v>245</v>
      </c>
      <c r="M1" s="434">
        <v>1600</v>
      </c>
      <c r="N1" s="430"/>
      <c r="O1" s="438" t="s">
        <v>239</v>
      </c>
      <c r="P1" s="455"/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/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МИНИСТЕРСТВО НА ЗДРАВЕОПАЗВАНЕТО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344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31.01.2021 г.</v>
      </c>
      <c r="G11" s="399">
        <f>+P5-1</f>
        <v>2020</v>
      </c>
      <c r="H11" s="15"/>
      <c r="I11" s="592" t="str">
        <f>+O8</f>
        <v>31.01.2021 г.</v>
      </c>
      <c r="J11" s="400">
        <f>+P5-1</f>
        <v>2020</v>
      </c>
      <c r="K11" s="16"/>
      <c r="L11" s="593" t="str">
        <f>+O8</f>
        <v>31.01.2021 г.</v>
      </c>
      <c r="M11" s="401">
        <f>+P5-1</f>
        <v>2020</v>
      </c>
      <c r="N11" s="16"/>
      <c r="O11" s="594" t="str">
        <f>+O8</f>
        <v>31.01.2021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2339932</v>
      </c>
      <c r="G16" s="236">
        <v>32014766</v>
      </c>
      <c r="H16" s="15"/>
      <c r="I16" s="237"/>
      <c r="J16" s="236"/>
      <c r="K16" s="230"/>
      <c r="L16" s="237"/>
      <c r="M16" s="236"/>
      <c r="N16" s="230"/>
      <c r="O16" s="364">
        <f t="shared" si="0"/>
        <v>2339932</v>
      </c>
      <c r="P16" s="387">
        <f t="shared" si="0"/>
        <v>32014766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92158</v>
      </c>
      <c r="G18" s="232">
        <v>1154835</v>
      </c>
      <c r="H18" s="15"/>
      <c r="I18" s="233"/>
      <c r="J18" s="232"/>
      <c r="K18" s="230"/>
      <c r="L18" s="233"/>
      <c r="M18" s="232"/>
      <c r="N18" s="230"/>
      <c r="O18" s="368">
        <f t="shared" si="0"/>
        <v>92158</v>
      </c>
      <c r="P18" s="381">
        <f t="shared" si="0"/>
        <v>1154835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906998</v>
      </c>
      <c r="G19" s="234">
        <v>6241981</v>
      </c>
      <c r="H19" s="15"/>
      <c r="I19" s="235"/>
      <c r="J19" s="234"/>
      <c r="K19" s="230"/>
      <c r="L19" s="235"/>
      <c r="M19" s="234"/>
      <c r="N19" s="230"/>
      <c r="O19" s="363">
        <f t="shared" si="0"/>
        <v>906998</v>
      </c>
      <c r="P19" s="415">
        <f t="shared" si="0"/>
        <v>6241981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18856</v>
      </c>
      <c r="G20" s="234">
        <v>299774</v>
      </c>
      <c r="H20" s="15"/>
      <c r="I20" s="235"/>
      <c r="J20" s="234"/>
      <c r="K20" s="230"/>
      <c r="L20" s="235"/>
      <c r="M20" s="234"/>
      <c r="N20" s="230"/>
      <c r="O20" s="363">
        <f t="shared" si="0"/>
        <v>18856</v>
      </c>
      <c r="P20" s="415">
        <f t="shared" si="0"/>
        <v>299774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1</v>
      </c>
      <c r="G22" s="234">
        <v>179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1</v>
      </c>
      <c r="P22" s="415">
        <f t="shared" si="0"/>
        <v>179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2103</v>
      </c>
      <c r="G24" s="236">
        <v>24509</v>
      </c>
      <c r="H24" s="15"/>
      <c r="I24" s="237"/>
      <c r="J24" s="236">
        <v>-17</v>
      </c>
      <c r="K24" s="230"/>
      <c r="L24" s="237"/>
      <c r="M24" s="236"/>
      <c r="N24" s="230"/>
      <c r="O24" s="364">
        <f t="shared" si="0"/>
        <v>2103</v>
      </c>
      <c r="P24" s="387">
        <f t="shared" si="0"/>
        <v>24492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3360048</v>
      </c>
      <c r="G25" s="238">
        <f>+ROUND(+SUM(G15,G16,G18,G19,G20,G21,G22,G23,G24),0)</f>
        <v>39736044</v>
      </c>
      <c r="H25" s="15"/>
      <c r="I25" s="239">
        <f>+ROUND(+SUM(I15,I16,I18,I19,I20,I21,I22,I23,I24),0)</f>
        <v>0</v>
      </c>
      <c r="J25" s="238">
        <f>+ROUND(+SUM(J15,J16,J18,J19,J20,J21,J22,J23,J24),0)</f>
        <v>-17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3360048</v>
      </c>
      <c r="P25" s="366">
        <f>+ROUND(+SUM(P15,P16,P18,P19,P20,P21,P22,P23,P24),0)</f>
        <v>39736027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1328</v>
      </c>
      <c r="G28" s="234">
        <v>102844</v>
      </c>
      <c r="H28" s="15"/>
      <c r="I28" s="235"/>
      <c r="J28" s="234"/>
      <c r="K28" s="230"/>
      <c r="L28" s="235"/>
      <c r="M28" s="234"/>
      <c r="N28" s="230"/>
      <c r="O28" s="363">
        <f t="shared" si="1"/>
        <v>1328</v>
      </c>
      <c r="P28" s="415">
        <f t="shared" si="1"/>
        <v>102844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1328</v>
      </c>
      <c r="G30" s="238">
        <f>+ROUND(+SUM(G27:G29),0)</f>
        <v>102844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1328</v>
      </c>
      <c r="P30" s="366">
        <f>+ROUND(+SUM(P27:P29),0)</f>
        <v>102844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-11295</v>
      </c>
      <c r="G37" s="250">
        <v>-237971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-11295</v>
      </c>
      <c r="P37" s="366">
        <f t="shared" si="2"/>
        <v>-237971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-2072</v>
      </c>
      <c r="G38" s="252">
        <v>-13477</v>
      </c>
      <c r="H38" s="15"/>
      <c r="I38" s="253"/>
      <c r="J38" s="252"/>
      <c r="K38" s="230"/>
      <c r="L38" s="253"/>
      <c r="M38" s="252"/>
      <c r="N38" s="230"/>
      <c r="O38" s="378">
        <f t="shared" si="2"/>
        <v>-2072</v>
      </c>
      <c r="P38" s="416">
        <f t="shared" si="2"/>
        <v>-13477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-5666</v>
      </c>
      <c r="G39" s="254">
        <v>-55004</v>
      </c>
      <c r="H39" s="15"/>
      <c r="I39" s="255"/>
      <c r="J39" s="254"/>
      <c r="K39" s="230"/>
      <c r="L39" s="255"/>
      <c r="M39" s="254"/>
      <c r="N39" s="230"/>
      <c r="O39" s="379">
        <f t="shared" si="2"/>
        <v>-5666</v>
      </c>
      <c r="P39" s="417">
        <f t="shared" si="2"/>
        <v>-55004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25239</v>
      </c>
      <c r="G42" s="250">
        <v>47774</v>
      </c>
      <c r="H42" s="15"/>
      <c r="I42" s="251"/>
      <c r="J42" s="250"/>
      <c r="K42" s="230"/>
      <c r="L42" s="251"/>
      <c r="M42" s="250"/>
      <c r="N42" s="230"/>
      <c r="O42" s="365">
        <f>+ROUND(+F42+I42+L42,0)</f>
        <v>25239</v>
      </c>
      <c r="P42" s="366">
        <f>+ROUND(+G42+J42+M42,0)</f>
        <v>47774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>
        <v>14755</v>
      </c>
      <c r="G44" s="232">
        <v>121197</v>
      </c>
      <c r="H44" s="15"/>
      <c r="I44" s="233">
        <v>345497</v>
      </c>
      <c r="J44" s="232">
        <v>1965352</v>
      </c>
      <c r="K44" s="230"/>
      <c r="L44" s="233"/>
      <c r="M44" s="232"/>
      <c r="N44" s="230"/>
      <c r="O44" s="368">
        <f aca="true" t="shared" si="3" ref="O44:P47">+ROUND(+F44+I44+L44,0)</f>
        <v>360252</v>
      </c>
      <c r="P44" s="381">
        <f t="shared" si="3"/>
        <v>2086549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>
        <v>716</v>
      </c>
      <c r="G45" s="234">
        <v>73171</v>
      </c>
      <c r="H45" s="15"/>
      <c r="I45" s="235"/>
      <c r="J45" s="234">
        <v>24316</v>
      </c>
      <c r="K45" s="230"/>
      <c r="L45" s="235"/>
      <c r="M45" s="234"/>
      <c r="N45" s="230"/>
      <c r="O45" s="363">
        <f t="shared" si="3"/>
        <v>716</v>
      </c>
      <c r="P45" s="415">
        <f t="shared" si="3"/>
        <v>97487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>
        <v>0</v>
      </c>
      <c r="G46" s="234">
        <v>0</v>
      </c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23765</v>
      </c>
      <c r="G47" s="236">
        <v>5650633</v>
      </c>
      <c r="H47" s="15"/>
      <c r="I47" s="237"/>
      <c r="J47" s="236"/>
      <c r="K47" s="230"/>
      <c r="L47" s="237"/>
      <c r="M47" s="236"/>
      <c r="N47" s="230"/>
      <c r="O47" s="364">
        <f t="shared" si="3"/>
        <v>23765</v>
      </c>
      <c r="P47" s="387">
        <f t="shared" si="3"/>
        <v>5650633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39236</v>
      </c>
      <c r="G48" s="238">
        <f>+ROUND(+SUM(G44:G47),0)</f>
        <v>5845001</v>
      </c>
      <c r="H48" s="15"/>
      <c r="I48" s="239">
        <f>+ROUND(+SUM(I44:I47),0)</f>
        <v>345497</v>
      </c>
      <c r="J48" s="238">
        <f>+ROUND(+SUM(J44:J47),0)</f>
        <v>1989668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384733</v>
      </c>
      <c r="P48" s="366">
        <f>+ROUND(+SUM(P44:P47),0)</f>
        <v>7834669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3414556</v>
      </c>
      <c r="G50" s="260">
        <f>+ROUND(G25+G30+G37+G42+G48,0)</f>
        <v>45493692</v>
      </c>
      <c r="H50" s="15"/>
      <c r="I50" s="261">
        <f>+ROUND(I25+I30+I37+I42+I48,0)</f>
        <v>345497</v>
      </c>
      <c r="J50" s="260">
        <f>+ROUND(J25+J30+J37+J42+J48,0)</f>
        <v>1989651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3760053</v>
      </c>
      <c r="P50" s="383">
        <f>+ROUND(P25+P30+P37+P42+P48,0)</f>
        <v>47483343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7871807</v>
      </c>
      <c r="G53" s="262">
        <v>432564009</v>
      </c>
      <c r="H53" s="15"/>
      <c r="I53" s="263">
        <v>209607</v>
      </c>
      <c r="J53" s="262">
        <v>22934100</v>
      </c>
      <c r="K53" s="230"/>
      <c r="L53" s="263"/>
      <c r="M53" s="262"/>
      <c r="N53" s="230"/>
      <c r="O53" s="369">
        <f aca="true" t="shared" si="4" ref="O53:P57">+ROUND(+F53+I53+L53,0)</f>
        <v>8081414</v>
      </c>
      <c r="P53" s="362">
        <f t="shared" si="4"/>
        <v>455498109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70631</v>
      </c>
      <c r="G54" s="236">
        <v>2015661</v>
      </c>
      <c r="H54" s="15"/>
      <c r="I54" s="237">
        <v>0</v>
      </c>
      <c r="J54" s="236">
        <v>93</v>
      </c>
      <c r="K54" s="230"/>
      <c r="L54" s="237"/>
      <c r="M54" s="236"/>
      <c r="N54" s="230"/>
      <c r="O54" s="364">
        <f t="shared" si="4"/>
        <v>70631</v>
      </c>
      <c r="P54" s="387">
        <f t="shared" si="4"/>
        <v>2015754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16947</v>
      </c>
      <c r="G55" s="236">
        <v>2050633</v>
      </c>
      <c r="H55" s="15"/>
      <c r="I55" s="237">
        <v>0</v>
      </c>
      <c r="J55" s="236">
        <v>249669</v>
      </c>
      <c r="K55" s="230"/>
      <c r="L55" s="237"/>
      <c r="M55" s="236"/>
      <c r="N55" s="230"/>
      <c r="O55" s="364">
        <f t="shared" si="4"/>
        <v>16947</v>
      </c>
      <c r="P55" s="387">
        <f t="shared" si="4"/>
        <v>2300302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20718415</v>
      </c>
      <c r="G56" s="236">
        <v>246136570</v>
      </c>
      <c r="H56" s="15"/>
      <c r="I56" s="237">
        <v>97362</v>
      </c>
      <c r="J56" s="236">
        <v>42802532</v>
      </c>
      <c r="K56" s="230"/>
      <c r="L56" s="237"/>
      <c r="M56" s="236"/>
      <c r="N56" s="230"/>
      <c r="O56" s="364">
        <f t="shared" si="4"/>
        <v>20815777</v>
      </c>
      <c r="P56" s="387">
        <f t="shared" si="4"/>
        <v>288939102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4142380</v>
      </c>
      <c r="G57" s="236">
        <v>49088097</v>
      </c>
      <c r="H57" s="15"/>
      <c r="I57" s="237">
        <v>13619</v>
      </c>
      <c r="J57" s="236">
        <v>7777729</v>
      </c>
      <c r="K57" s="230"/>
      <c r="L57" s="237"/>
      <c r="M57" s="236"/>
      <c r="N57" s="230"/>
      <c r="O57" s="364">
        <f t="shared" si="4"/>
        <v>4155999</v>
      </c>
      <c r="P57" s="387">
        <f t="shared" si="4"/>
        <v>56865826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32820180</v>
      </c>
      <c r="G58" s="264">
        <f>+ROUND(+SUM(G53:G57),0)</f>
        <v>731854970</v>
      </c>
      <c r="H58" s="15"/>
      <c r="I58" s="265">
        <f>+ROUND(+SUM(I53:I57),0)</f>
        <v>320588</v>
      </c>
      <c r="J58" s="264">
        <f>+ROUND(+SUM(J53:J57),0)</f>
        <v>73764123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33140768</v>
      </c>
      <c r="P58" s="385">
        <f>+ROUND(+SUM(P53:P57),0)</f>
        <v>805619093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33309</v>
      </c>
      <c r="G61" s="236">
        <v>17836066</v>
      </c>
      <c r="H61" s="15"/>
      <c r="I61" s="237">
        <v>4718389</v>
      </c>
      <c r="J61" s="236">
        <v>35749650</v>
      </c>
      <c r="K61" s="230"/>
      <c r="L61" s="237"/>
      <c r="M61" s="236"/>
      <c r="N61" s="230"/>
      <c r="O61" s="364">
        <f t="shared" si="5"/>
        <v>4751698</v>
      </c>
      <c r="P61" s="387">
        <f t="shared" si="5"/>
        <v>53585716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>
        <v>8874216</v>
      </c>
      <c r="H62" s="15"/>
      <c r="I62" s="237"/>
      <c r="J62" s="236">
        <v>-989640</v>
      </c>
      <c r="K62" s="230"/>
      <c r="L62" s="237"/>
      <c r="M62" s="236"/>
      <c r="N62" s="230"/>
      <c r="O62" s="364">
        <f t="shared" si="5"/>
        <v>0</v>
      </c>
      <c r="P62" s="387">
        <f t="shared" si="5"/>
        <v>7884576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33309</v>
      </c>
      <c r="G65" s="264">
        <f>+ROUND(+SUM(G60:G63),0)</f>
        <v>26710282</v>
      </c>
      <c r="H65" s="15"/>
      <c r="I65" s="265">
        <f>+ROUND(+SUM(I60:I63),0)</f>
        <v>4718389</v>
      </c>
      <c r="J65" s="264">
        <f>+ROUND(+SUM(J60:J63),0)</f>
        <v>34760010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4751698</v>
      </c>
      <c r="P65" s="385">
        <f>+ROUND(+SUM(P60:P63),0)</f>
        <v>61470292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>
        <v>-32700</v>
      </c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-32700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>
        <v>27</v>
      </c>
      <c r="G68" s="236">
        <v>1532</v>
      </c>
      <c r="H68" s="15"/>
      <c r="I68" s="237"/>
      <c r="J68" s="236"/>
      <c r="K68" s="230"/>
      <c r="L68" s="237"/>
      <c r="M68" s="236"/>
      <c r="N68" s="230"/>
      <c r="O68" s="364">
        <f>+ROUND(+F68+I68+L68,0)</f>
        <v>27</v>
      </c>
      <c r="P68" s="387">
        <f>+ROUND(+G68+J68+M68,0)</f>
        <v>1532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27</v>
      </c>
      <c r="G69" s="264">
        <f>+ROUND(+SUM(G67:G68),0)</f>
        <v>-31168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27</v>
      </c>
      <c r="P69" s="385">
        <f>+ROUND(+SUM(P67:P68),0)</f>
        <v>-31168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508353</v>
      </c>
      <c r="G71" s="262">
        <v>19762376</v>
      </c>
      <c r="H71" s="15"/>
      <c r="I71" s="263">
        <v>68654</v>
      </c>
      <c r="J71" s="262">
        <v>603263</v>
      </c>
      <c r="K71" s="230"/>
      <c r="L71" s="263"/>
      <c r="M71" s="262"/>
      <c r="N71" s="230"/>
      <c r="O71" s="369">
        <f>+ROUND(+F71+I71+L71,0)</f>
        <v>577007</v>
      </c>
      <c r="P71" s="362">
        <f>+ROUND(+G71+J71+M71,0)</f>
        <v>20365639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508353</v>
      </c>
      <c r="G73" s="264">
        <f>+ROUND(+SUM(G71:G72),0)</f>
        <v>19762376</v>
      </c>
      <c r="H73" s="15"/>
      <c r="I73" s="265">
        <f>+ROUND(+SUM(I71:I72),0)</f>
        <v>68654</v>
      </c>
      <c r="J73" s="264">
        <f>+ROUND(+SUM(J71:J72),0)</f>
        <v>603263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577007</v>
      </c>
      <c r="P73" s="385">
        <f>+ROUND(+SUM(P71:P72),0)</f>
        <v>20365639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4190796</v>
      </c>
      <c r="G75" s="262">
        <v>281408401</v>
      </c>
      <c r="H75" s="15"/>
      <c r="I75" s="263">
        <v>37182749</v>
      </c>
      <c r="J75" s="262">
        <v>125733799</v>
      </c>
      <c r="K75" s="230"/>
      <c r="L75" s="263"/>
      <c r="M75" s="262"/>
      <c r="N75" s="230"/>
      <c r="O75" s="369">
        <f>+ROUND(+F75+I75+L75,0)</f>
        <v>41373545</v>
      </c>
      <c r="P75" s="362">
        <f>+ROUND(+G75+J75+M75,0)</f>
        <v>407142200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-79213</v>
      </c>
      <c r="G76" s="236">
        <v>47616723</v>
      </c>
      <c r="H76" s="15"/>
      <c r="I76" s="237"/>
      <c r="J76" s="236"/>
      <c r="K76" s="230"/>
      <c r="L76" s="237"/>
      <c r="M76" s="236"/>
      <c r="N76" s="230"/>
      <c r="O76" s="364">
        <f>+ROUND(+F76+I76+L76,0)</f>
        <v>-79213</v>
      </c>
      <c r="P76" s="387">
        <f>+ROUND(+G76+J76+M76,0)</f>
        <v>47616723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4111583</v>
      </c>
      <c r="G77" s="264">
        <f>+ROUND(+SUM(G75:G76),0)</f>
        <v>329025124</v>
      </c>
      <c r="H77" s="15"/>
      <c r="I77" s="265">
        <f>+ROUND(+SUM(I75:I76),0)</f>
        <v>37182749</v>
      </c>
      <c r="J77" s="264">
        <f>+ROUND(+SUM(J75:J76),0)</f>
        <v>125733799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41294332</v>
      </c>
      <c r="P77" s="385">
        <f>+ROUND(+SUM(P75:P76),0)</f>
        <v>454758923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37473452</v>
      </c>
      <c r="G79" s="275">
        <f>+ROUND(G58+G65+G69+G73+G77,0)</f>
        <v>1107321584</v>
      </c>
      <c r="H79" s="15"/>
      <c r="I79" s="272">
        <f>+ROUND(I58+I65+I69+I73+I77,0)</f>
        <v>42290380</v>
      </c>
      <c r="J79" s="275">
        <f>+ROUND(J58+J65+J69+J73+J77,0)</f>
        <v>234861195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79763832</v>
      </c>
      <c r="P79" s="395">
        <f>+ROUND(P58+P65+P69+P73+P77,0)</f>
        <v>1342182779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81461453</v>
      </c>
      <c r="G81" s="232">
        <v>1126444870</v>
      </c>
      <c r="H81" s="15"/>
      <c r="I81" s="233">
        <v>3290559</v>
      </c>
      <c r="J81" s="232">
        <v>119917274</v>
      </c>
      <c r="K81" s="230"/>
      <c r="L81" s="233"/>
      <c r="M81" s="232"/>
      <c r="N81" s="230"/>
      <c r="O81" s="368">
        <f>+ROUND(+F81+I81+L81,0)</f>
        <v>84752012</v>
      </c>
      <c r="P81" s="381">
        <f>+ROUND(+G81+J81+M81,0)</f>
        <v>1246362144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>
        <v>170594399</v>
      </c>
      <c r="K82" s="230"/>
      <c r="L82" s="237"/>
      <c r="M82" s="236"/>
      <c r="N82" s="230"/>
      <c r="O82" s="364">
        <f>+ROUND(+F82+I82+L82,0)</f>
        <v>0</v>
      </c>
      <c r="P82" s="387">
        <f>+ROUND(+G82+J82+M82,0)</f>
        <v>170594399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81461453</v>
      </c>
      <c r="G83" s="273">
        <f>+ROUND(G81+G82,0)</f>
        <v>1126444870</v>
      </c>
      <c r="H83" s="15"/>
      <c r="I83" s="274">
        <f>+ROUND(I81+I82,0)</f>
        <v>3290559</v>
      </c>
      <c r="J83" s="273">
        <f>+ROUND(J81+J82,0)</f>
        <v>290511673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84752012</v>
      </c>
      <c r="P83" s="390">
        <f>+ROUND(P81+P82,0)</f>
        <v>1416956543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47402557</v>
      </c>
      <c r="G85" s="294">
        <f>+ROUND(G50,0)-ROUND(G79,0)+ROUND(G83,0)</f>
        <v>64616978</v>
      </c>
      <c r="H85" s="15"/>
      <c r="I85" s="295">
        <f>+ROUND(I50,0)-ROUND(I79,0)+ROUND(I83,0)</f>
        <v>-38654324</v>
      </c>
      <c r="J85" s="294">
        <f>+ROUND(J50,0)-ROUND(J79,0)+ROUND(J83,0)</f>
        <v>57640129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8748233</v>
      </c>
      <c r="P85" s="392">
        <f>+ROUND(P50,0)-ROUND(P79,0)+ROUND(P83,0)</f>
        <v>122257107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-47402557</v>
      </c>
      <c r="G86" s="296">
        <f>+ROUND(G103,0)+ROUND(G122,0)+ROUND(G129,0)-ROUND(G134,0)</f>
        <v>-64616978</v>
      </c>
      <c r="H86" s="15"/>
      <c r="I86" s="297">
        <f>+ROUND(I103,0)+ROUND(I122,0)+ROUND(I129,0)-ROUND(I134,0)</f>
        <v>38654324</v>
      </c>
      <c r="J86" s="296">
        <f>+ROUND(J103,0)+ROUND(J122,0)+ROUND(J129,0)-ROUND(J134,0)</f>
        <v>-57640129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-8748233</v>
      </c>
      <c r="P86" s="394">
        <f>+ROUND(P103,0)+ROUND(P122,0)+ROUND(P129,0)-ROUND(P134,0)</f>
        <v>-122257107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>
        <v>-118670551</v>
      </c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-118670551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-118670551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-118670551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>
        <v>113889</v>
      </c>
      <c r="G94" s="236">
        <v>663889</v>
      </c>
      <c r="H94" s="15"/>
      <c r="I94" s="237"/>
      <c r="J94" s="236"/>
      <c r="K94" s="230"/>
      <c r="L94" s="237"/>
      <c r="M94" s="236"/>
      <c r="N94" s="230"/>
      <c r="O94" s="364">
        <f t="shared" si="6"/>
        <v>113889</v>
      </c>
      <c r="P94" s="387">
        <f t="shared" si="6"/>
        <v>663889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113889</v>
      </c>
      <c r="G97" s="238">
        <f>+ROUND(+SUM(G93:G96),0)</f>
        <v>663889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113889</v>
      </c>
      <c r="P97" s="366">
        <f>+ROUND(+SUM(P93:P96),0)</f>
        <v>663889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11528</v>
      </c>
      <c r="G100" s="236">
        <v>-3024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11528</v>
      </c>
      <c r="P100" s="387">
        <f>+ROUND(+G100+J100+M100,0)</f>
        <v>-3024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11528</v>
      </c>
      <c r="G101" s="238">
        <f>+ROUND(+SUM(G99:G100),0)</f>
        <v>-3024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11528</v>
      </c>
      <c r="P101" s="366">
        <f>+ROUND(+SUM(P99:P100),0)</f>
        <v>-3024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125417</v>
      </c>
      <c r="G103" s="260">
        <f>+ROUND(G91+G97+G101,0)</f>
        <v>-118009686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125417</v>
      </c>
      <c r="P103" s="383">
        <f>+ROUND(P91+P97+P101,0)</f>
        <v>-118009686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>
        <v>-6028176</v>
      </c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-6028176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-6028176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-6028176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-5984</v>
      </c>
      <c r="G118" s="262">
        <v>-128376</v>
      </c>
      <c r="H118" s="15"/>
      <c r="I118" s="263"/>
      <c r="J118" s="262"/>
      <c r="K118" s="230"/>
      <c r="L118" s="263">
        <v>-1498094</v>
      </c>
      <c r="M118" s="262">
        <v>4159204</v>
      </c>
      <c r="N118" s="230"/>
      <c r="O118" s="369">
        <f>+ROUND(+F118+I118+L118,0)</f>
        <v>-1504078</v>
      </c>
      <c r="P118" s="362">
        <f>+ROUND(+G118+J118+M118,0)</f>
        <v>4030828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174</v>
      </c>
      <c r="G119" s="236">
        <v>2789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174</v>
      </c>
      <c r="P119" s="387">
        <f>+ROUND(+G119+J119+M119,0)</f>
        <v>2789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-5810</v>
      </c>
      <c r="G120" s="264">
        <f>+ROUND(+SUM(G118:G119),0)</f>
        <v>-125587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-1498094</v>
      </c>
      <c r="M120" s="264">
        <f>+ROUND(+SUM(M118:M119),0)</f>
        <v>4159204</v>
      </c>
      <c r="N120" s="230"/>
      <c r="O120" s="384">
        <f>+ROUND(+SUM(O118:O119),0)</f>
        <v>-1503904</v>
      </c>
      <c r="P120" s="385">
        <f>+ROUND(+SUM(P118:P119),0)</f>
        <v>4033617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-5810</v>
      </c>
      <c r="G122" s="275">
        <f>+ROUND(G108+G112+G116+G120,0)</f>
        <v>-6153763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-1498094</v>
      </c>
      <c r="M122" s="275">
        <f>+ROUND(M108+M112+M116+M120,0)</f>
        <v>4159204</v>
      </c>
      <c r="N122" s="230"/>
      <c r="O122" s="388">
        <f>+ROUND(O108+O112+O116+O120,0)</f>
        <v>-1503904</v>
      </c>
      <c r="P122" s="395">
        <f>+ROUND(P108+P112+P116+P120,0)</f>
        <v>-1994559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-46345809</v>
      </c>
      <c r="G125" s="236">
        <v>59631833</v>
      </c>
      <c r="H125" s="15"/>
      <c r="I125" s="237">
        <v>38653840</v>
      </c>
      <c r="J125" s="236">
        <v>-57641653</v>
      </c>
      <c r="K125" s="230"/>
      <c r="L125" s="237">
        <v>-1674954</v>
      </c>
      <c r="M125" s="236">
        <v>310427620</v>
      </c>
      <c r="N125" s="230"/>
      <c r="O125" s="364">
        <f t="shared" si="7"/>
        <v>-9366923</v>
      </c>
      <c r="P125" s="387">
        <f t="shared" si="7"/>
        <v>312417800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-718609</v>
      </c>
      <c r="G126" s="236">
        <v>-1524</v>
      </c>
      <c r="H126" s="15"/>
      <c r="I126" s="237">
        <v>484</v>
      </c>
      <c r="J126" s="236">
        <v>1524</v>
      </c>
      <c r="K126" s="230"/>
      <c r="L126" s="237"/>
      <c r="M126" s="236"/>
      <c r="N126" s="230"/>
      <c r="O126" s="364">
        <f t="shared" si="7"/>
        <v>-718125</v>
      </c>
      <c r="P126" s="387">
        <f t="shared" si="7"/>
        <v>0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-47064418</v>
      </c>
      <c r="G129" s="273">
        <f>+ROUND(+SUM(G124,G125,G126,G128),0)</f>
        <v>59630309</v>
      </c>
      <c r="H129" s="15"/>
      <c r="I129" s="274">
        <f>+ROUND(+SUM(I124,I125,I126,I128),0)</f>
        <v>38654324</v>
      </c>
      <c r="J129" s="273">
        <f>+ROUND(+SUM(J124,J125,J126,J128),0)</f>
        <v>-57640129</v>
      </c>
      <c r="K129" s="230"/>
      <c r="L129" s="274">
        <f>+ROUND(+SUM(L124,L125,L126,L128),0)</f>
        <v>-1674954</v>
      </c>
      <c r="M129" s="273">
        <f>+ROUND(+SUM(M124,M125,M126,M128),0)</f>
        <v>310427620</v>
      </c>
      <c r="N129" s="230"/>
      <c r="O129" s="389">
        <f>+ROUND(+SUM(O124,O125,O126,O128),0)</f>
        <v>-10085048</v>
      </c>
      <c r="P129" s="390">
        <f>+ROUND(+SUM(P124,P125,P126,P128),0)</f>
        <v>312417800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2328131</v>
      </c>
      <c r="G131" s="232">
        <v>2273782</v>
      </c>
      <c r="H131" s="15"/>
      <c r="I131" s="233"/>
      <c r="J131" s="232"/>
      <c r="K131" s="230"/>
      <c r="L131" s="233">
        <v>317472477</v>
      </c>
      <c r="M131" s="232">
        <v>2885935</v>
      </c>
      <c r="N131" s="230"/>
      <c r="O131" s="368">
        <f aca="true" t="shared" si="8" ref="O131:P133">+ROUND(+F131+I131+L131,0)</f>
        <v>319800608</v>
      </c>
      <c r="P131" s="381">
        <f t="shared" si="8"/>
        <v>5159717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3082</v>
      </c>
      <c r="G132" s="236">
        <v>-29489</v>
      </c>
      <c r="H132" s="15"/>
      <c r="I132" s="237"/>
      <c r="J132" s="236"/>
      <c r="K132" s="230"/>
      <c r="L132" s="237">
        <v>22</v>
      </c>
      <c r="M132" s="236">
        <v>-282</v>
      </c>
      <c r="N132" s="230"/>
      <c r="O132" s="364">
        <f t="shared" si="8"/>
        <v>3104</v>
      </c>
      <c r="P132" s="387">
        <f t="shared" si="8"/>
        <v>-29771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2788959</v>
      </c>
      <c r="G133" s="236">
        <v>2328131</v>
      </c>
      <c r="H133" s="15"/>
      <c r="I133" s="237"/>
      <c r="J133" s="236"/>
      <c r="K133" s="230"/>
      <c r="L133" s="237">
        <v>314299451</v>
      </c>
      <c r="M133" s="236">
        <v>317472477</v>
      </c>
      <c r="N133" s="230"/>
      <c r="O133" s="364">
        <f t="shared" si="8"/>
        <v>317088410</v>
      </c>
      <c r="P133" s="387">
        <f t="shared" si="8"/>
        <v>319800608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457746</v>
      </c>
      <c r="G134" s="278">
        <f>+ROUND(+G133-G131-G132,0)</f>
        <v>83838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-3173048</v>
      </c>
      <c r="M134" s="278">
        <f>+ROUND(+M133-M131-M132,0)</f>
        <v>314586824</v>
      </c>
      <c r="N134" s="230"/>
      <c r="O134" s="397">
        <f>+ROUND(+O133-O131-O132,0)</f>
        <v>-2715302</v>
      </c>
      <c r="P134" s="398">
        <f>+ROUND(+P133-P131-P132,0)</f>
        <v>314670662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2761360</v>
      </c>
      <c r="G139" s="236">
        <v>2761360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2761360</v>
      </c>
      <c r="P139" s="387">
        <f t="shared" si="9"/>
        <v>2761360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2761360</v>
      </c>
      <c r="G140" s="278">
        <f>+ROUND(+G139-G137-G138,0)</f>
        <v>2761360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2761360</v>
      </c>
      <c r="P140" s="398">
        <f>+ROUND(+P139-P137-P138,0)</f>
        <v>2761360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3219106</v>
      </c>
      <c r="G142" s="540">
        <f>+G134+G140</f>
        <v>2845198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-3173048</v>
      </c>
      <c r="M142" s="540">
        <f>+M134+M140</f>
        <v>314586824</v>
      </c>
      <c r="N142" s="230"/>
      <c r="O142" s="397">
        <f>+O134+O140</f>
        <v>46058</v>
      </c>
      <c r="P142" s="398">
        <f>+P134+P140</f>
        <v>317432022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/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456</v>
      </c>
      <c r="G148" s="797"/>
      <c r="H148" s="797"/>
      <c r="I148" s="798"/>
      <c r="J148" s="349"/>
      <c r="K148" s="16"/>
      <c r="L148" s="349" t="s">
        <v>234</v>
      </c>
      <c r="M148" s="796" t="s">
        <v>457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5550319</v>
      </c>
      <c r="G160" s="569">
        <f>+G133+G139</f>
        <v>5089491</v>
      </c>
      <c r="I160" s="568">
        <f>+I133+I139</f>
        <v>0</v>
      </c>
      <c r="J160" s="569">
        <f>+J133+J139</f>
        <v>0</v>
      </c>
      <c r="K160" s="230"/>
      <c r="L160" s="568">
        <f>+L133+L139</f>
        <v>314299451</v>
      </c>
      <c r="M160" s="569">
        <f>+M133+M139</f>
        <v>317472477</v>
      </c>
      <c r="N160" s="230"/>
      <c r="O160" s="572">
        <f>+ROUND(+F160+I160+L160,0)</f>
        <v>319849770</v>
      </c>
      <c r="P160" s="573">
        <f>+ROUND(+G160+J160+M160,0)</f>
        <v>322561968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5550319</v>
      </c>
      <c r="G161" s="566">
        <v>5089491</v>
      </c>
      <c r="I161" s="565"/>
      <c r="J161" s="566"/>
      <c r="K161" s="230"/>
      <c r="L161" s="565">
        <v>314299451</v>
      </c>
      <c r="M161" s="566">
        <v>317472477</v>
      </c>
      <c r="N161" s="230"/>
      <c r="O161" s="574">
        <f>+ROUND(+F161+I161+L161,0)</f>
        <v>319849770</v>
      </c>
      <c r="P161" s="575">
        <f>+ROUND(+G161+J161+M161,0)</f>
        <v>322561968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31.01.2021 г.</v>
      </c>
      <c r="G162" s="559">
        <f>+G11</f>
        <v>2020</v>
      </c>
      <c r="I162" s="597" t="str">
        <f>+I11</f>
        <v>31.01.2021 г.</v>
      </c>
      <c r="J162" s="561">
        <f>+J11</f>
        <v>2020</v>
      </c>
      <c r="K162" s="11"/>
      <c r="L162" s="598" t="str">
        <f>+L11</f>
        <v>31.01.2021 г.</v>
      </c>
      <c r="M162" s="564">
        <f>+M11</f>
        <v>2020</v>
      </c>
      <c r="N162" s="11"/>
      <c r="O162" s="599" t="str">
        <f>+O11</f>
        <v>31.01.2021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:L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МИНИСТЕРСТВО НА ЗДРАВЕОПАЗВАНЕТО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695317</v>
      </c>
      <c r="J1" s="813"/>
      <c r="K1" s="442"/>
      <c r="L1" s="443" t="s">
        <v>245</v>
      </c>
      <c r="M1" s="444">
        <f>+'Cash-Flow-2021-Leva'!M1</f>
        <v>1600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>
        <f>+'Cash-Flow-2021-Leva'!M3:P3</f>
        <v>0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МИНИСТЕРСТВО НА ЗДРАВЕОПАЗВАНЕТО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31.01.2021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31.01.2021 г.</v>
      </c>
      <c r="G11" s="399">
        <f>+'Cash-Flow-2021-Leva'!G11</f>
        <v>2020</v>
      </c>
      <c r="H11" s="5"/>
      <c r="I11" s="592" t="str">
        <f>+O8</f>
        <v>31.01.2021 г.</v>
      </c>
      <c r="J11" s="400">
        <f>+'Cash-Flow-2021-Leva'!J11</f>
        <v>2020</v>
      </c>
      <c r="K11" s="5"/>
      <c r="L11" s="593" t="str">
        <f>+O8</f>
        <v>31.01.2021 г.</v>
      </c>
      <c r="M11" s="401">
        <f>+'Cash-Flow-2021-Leva'!M11</f>
        <v>2020</v>
      </c>
      <c r="N11" s="465"/>
      <c r="O11" s="594" t="str">
        <f>+O8</f>
        <v>31.01.2021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2339.932</v>
      </c>
      <c r="G16" s="270">
        <f>+'Cash-Flow-2021-Leva'!G16/1000</f>
        <v>32014.766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2339.932</v>
      </c>
      <c r="P16" s="387">
        <f t="shared" si="1"/>
        <v>32014.766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92.158</v>
      </c>
      <c r="G18" s="258">
        <f>+'Cash-Flow-2021-Leva'!G18/1000</f>
        <v>1154.835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92.158</v>
      </c>
      <c r="P18" s="381">
        <f t="shared" si="1"/>
        <v>1154.835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906.998</v>
      </c>
      <c r="G19" s="281">
        <f>+'Cash-Flow-2021-Leva'!G19/1000</f>
        <v>6241.981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906.998</v>
      </c>
      <c r="P19" s="415">
        <f t="shared" si="1"/>
        <v>6241.981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18.856</v>
      </c>
      <c r="G20" s="281">
        <f>+'Cash-Flow-2021-Leva'!G20/1000</f>
        <v>299.774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18.856</v>
      </c>
      <c r="P20" s="415">
        <f t="shared" si="1"/>
        <v>299.774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0.001</v>
      </c>
      <c r="G22" s="281">
        <f>+'Cash-Flow-2021-Leva'!G22/1000</f>
        <v>0.179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0.001</v>
      </c>
      <c r="P22" s="415">
        <f t="shared" si="1"/>
        <v>0.179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2.103</v>
      </c>
      <c r="G24" s="270">
        <f>+'Cash-Flow-2021-Leva'!G24/1000</f>
        <v>24.509</v>
      </c>
      <c r="H24" s="280"/>
      <c r="I24" s="271">
        <f>+'Cash-Flow-2021-Leva'!I24/1000</f>
        <v>0</v>
      </c>
      <c r="J24" s="270">
        <f>+'Cash-Flow-2021-Leva'!J24/1000</f>
        <v>-0.017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2.103</v>
      </c>
      <c r="P24" s="387">
        <f t="shared" si="1"/>
        <v>24.492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3360.0480000000002</v>
      </c>
      <c r="G25" s="238">
        <f>+SUM(G15,G16,G18,G19,G20,G21,G22,G23,G24)</f>
        <v>39736.043999999994</v>
      </c>
      <c r="H25" s="280"/>
      <c r="I25" s="239">
        <f>+SUM(I15,I16,I18,I19,I20,I21,I22,I23,I24)</f>
        <v>0</v>
      </c>
      <c r="J25" s="238">
        <f>+SUM(J15,J16,J18,J19,J20,J21,J22,J23,J24)</f>
        <v>-0.017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3360.0480000000002</v>
      </c>
      <c r="P25" s="366">
        <f>+SUM(P15,P16,P18,P19,P20,P21,P22,P23,P24)</f>
        <v>39736.026999999995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1.328</v>
      </c>
      <c r="G28" s="281">
        <f>+'Cash-Flow-2021-Leva'!G28/1000</f>
        <v>102.844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1.328</v>
      </c>
      <c r="P28" s="415">
        <f t="shared" si="2"/>
        <v>102.844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1.328</v>
      </c>
      <c r="G30" s="238">
        <f>+SUM(G27:G29)</f>
        <v>102.844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1.328</v>
      </c>
      <c r="P30" s="366">
        <f>+SUM(P27:P29)</f>
        <v>102.844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-11.295</v>
      </c>
      <c r="G37" s="238">
        <f>+'Cash-Flow-2021-Leva'!G37/1000</f>
        <v>-237.971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-11.295</v>
      </c>
      <c r="P37" s="366">
        <f t="shared" si="3"/>
        <v>-237.971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-2.072</v>
      </c>
      <c r="G38" s="283">
        <f>+'Cash-Flow-2021-Leva'!G38/1000</f>
        <v>-13.477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-2.072</v>
      </c>
      <c r="P38" s="416">
        <f t="shared" si="3"/>
        <v>-13.477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-5.666</v>
      </c>
      <c r="G39" s="285">
        <f>+'Cash-Flow-2021-Leva'!G39/1000</f>
        <v>-55.004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-5.666</v>
      </c>
      <c r="P39" s="417">
        <f t="shared" si="3"/>
        <v>-55.004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25.239</v>
      </c>
      <c r="G42" s="238">
        <f>+'Cash-Flow-2021-Leva'!G42/1000</f>
        <v>47.774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25.239</v>
      </c>
      <c r="P42" s="366">
        <f>+G42+J42+M42</f>
        <v>47.774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14.755</v>
      </c>
      <c r="G44" s="258">
        <f>+'Cash-Flow-2021-Leva'!G44/1000</f>
        <v>121.197</v>
      </c>
      <c r="H44" s="280"/>
      <c r="I44" s="259">
        <f>+'Cash-Flow-2021-Leva'!I44/1000</f>
        <v>345.497</v>
      </c>
      <c r="J44" s="258">
        <f>+'Cash-Flow-2021-Leva'!J44/1000</f>
        <v>1965.352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360.252</v>
      </c>
      <c r="P44" s="381">
        <f t="shared" si="4"/>
        <v>2086.549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0.716</v>
      </c>
      <c r="G45" s="281">
        <f>+'Cash-Flow-2021-Leva'!G45/1000</f>
        <v>73.171</v>
      </c>
      <c r="H45" s="280"/>
      <c r="I45" s="282">
        <f>+'Cash-Flow-2021-Leva'!I45/1000</f>
        <v>0</v>
      </c>
      <c r="J45" s="281">
        <f>+'Cash-Flow-2021-Leva'!J45/1000</f>
        <v>24.316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0.716</v>
      </c>
      <c r="P45" s="415">
        <f t="shared" si="4"/>
        <v>97.48700000000001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23.765</v>
      </c>
      <c r="G47" s="270">
        <f>+'Cash-Flow-2021-Leva'!G47/1000</f>
        <v>5650.633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23.765</v>
      </c>
      <c r="P47" s="387">
        <f t="shared" si="4"/>
        <v>5650.633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39.236000000000004</v>
      </c>
      <c r="G48" s="238">
        <f>+SUM(G44:G47)</f>
        <v>5845.001</v>
      </c>
      <c r="H48" s="280"/>
      <c r="I48" s="239">
        <f>+SUM(I44:I47)</f>
        <v>345.497</v>
      </c>
      <c r="J48" s="238">
        <f>+SUM(J44:J47)</f>
        <v>1989.6680000000001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384.733</v>
      </c>
      <c r="P48" s="366">
        <f>+SUM(P44:P47)</f>
        <v>7834.669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3414.556</v>
      </c>
      <c r="G50" s="260">
        <f>+G25+G30+G37+G42+G48</f>
        <v>45493.691999999995</v>
      </c>
      <c r="H50" s="280"/>
      <c r="I50" s="261">
        <f>+I25+I30+I37+I42+I48</f>
        <v>345.497</v>
      </c>
      <c r="J50" s="260">
        <f>+J25+J30+J37+J42+J48</f>
        <v>1989.651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3760.0530000000003</v>
      </c>
      <c r="P50" s="383">
        <f>+P25+P30+P37+P42+P48</f>
        <v>47483.34299999999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7871.807</v>
      </c>
      <c r="G53" s="231">
        <f>+'Cash-Flow-2021-Leva'!G53/1000</f>
        <v>432564.009</v>
      </c>
      <c r="H53" s="280"/>
      <c r="I53" s="241">
        <f>+'Cash-Flow-2021-Leva'!I53/1000</f>
        <v>209.607</v>
      </c>
      <c r="J53" s="231">
        <f>+'Cash-Flow-2021-Leva'!J53/1000</f>
        <v>22934.1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8081.414</v>
      </c>
      <c r="P53" s="362">
        <f t="shared" si="5"/>
        <v>455498.109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70.631</v>
      </c>
      <c r="G54" s="270">
        <f>+'Cash-Flow-2021-Leva'!G54/1000</f>
        <v>2015.661</v>
      </c>
      <c r="H54" s="280"/>
      <c r="I54" s="271">
        <f>+'Cash-Flow-2021-Leva'!I54/1000</f>
        <v>0</v>
      </c>
      <c r="J54" s="270">
        <f>+'Cash-Flow-2021-Leva'!J54/1000</f>
        <v>0.093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70.631</v>
      </c>
      <c r="P54" s="387">
        <f t="shared" si="5"/>
        <v>2015.7540000000001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16.947</v>
      </c>
      <c r="G55" s="270">
        <f>+'Cash-Flow-2021-Leva'!G55/1000</f>
        <v>2050.633</v>
      </c>
      <c r="H55" s="280"/>
      <c r="I55" s="271">
        <f>+'Cash-Flow-2021-Leva'!I55/1000</f>
        <v>0</v>
      </c>
      <c r="J55" s="270">
        <f>+'Cash-Flow-2021-Leva'!J55/1000</f>
        <v>249.669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16.947</v>
      </c>
      <c r="P55" s="387">
        <f t="shared" si="5"/>
        <v>2300.3019999999997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20718.415</v>
      </c>
      <c r="G56" s="270">
        <f>+'Cash-Flow-2021-Leva'!G56/1000</f>
        <v>246136.57</v>
      </c>
      <c r="H56" s="280"/>
      <c r="I56" s="271">
        <f>+'Cash-Flow-2021-Leva'!I56/1000</f>
        <v>97.362</v>
      </c>
      <c r="J56" s="270">
        <f>+'Cash-Flow-2021-Leva'!J56/1000</f>
        <v>42802.532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20815.777000000002</v>
      </c>
      <c r="P56" s="387">
        <f t="shared" si="5"/>
        <v>288939.102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4142.38</v>
      </c>
      <c r="G57" s="270">
        <f>+'Cash-Flow-2021-Leva'!G57/1000</f>
        <v>49088.097</v>
      </c>
      <c r="H57" s="280"/>
      <c r="I57" s="271">
        <f>+'Cash-Flow-2021-Leva'!I57/1000</f>
        <v>13.619</v>
      </c>
      <c r="J57" s="270">
        <f>+'Cash-Flow-2021-Leva'!J57/1000</f>
        <v>7777.729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4155.999</v>
      </c>
      <c r="P57" s="387">
        <f t="shared" si="5"/>
        <v>56865.826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32820.18</v>
      </c>
      <c r="G58" s="264">
        <f>+SUM(G53:G57)</f>
        <v>731854.97</v>
      </c>
      <c r="H58" s="280"/>
      <c r="I58" s="265">
        <f>+SUM(I53:I57)</f>
        <v>320.58799999999997</v>
      </c>
      <c r="J58" s="264">
        <f>+SUM(J53:J57)</f>
        <v>73764.123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33140.768</v>
      </c>
      <c r="P58" s="385">
        <f>+SUM(P53:P57)</f>
        <v>805619.093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33.309</v>
      </c>
      <c r="G61" s="270">
        <f>+'Cash-Flow-2021-Leva'!G61/1000</f>
        <v>17836.066</v>
      </c>
      <c r="H61" s="280"/>
      <c r="I61" s="271">
        <f>+'Cash-Flow-2021-Leva'!I61/1000</f>
        <v>4718.389</v>
      </c>
      <c r="J61" s="270">
        <f>+'Cash-Flow-2021-Leva'!J61/1000</f>
        <v>35749.65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4751.698</v>
      </c>
      <c r="P61" s="387">
        <f t="shared" si="6"/>
        <v>53585.716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8874.216</v>
      </c>
      <c r="H62" s="280"/>
      <c r="I62" s="271">
        <f>+'Cash-Flow-2021-Leva'!I62/1000</f>
        <v>0</v>
      </c>
      <c r="J62" s="270">
        <f>+'Cash-Flow-2021-Leva'!J62/1000</f>
        <v>-989.64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7884.576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33.309</v>
      </c>
      <c r="G65" s="264">
        <f>+SUM(G60:G63)</f>
        <v>26710.282</v>
      </c>
      <c r="H65" s="280"/>
      <c r="I65" s="265">
        <f>+SUM(I60:I63)</f>
        <v>4718.389</v>
      </c>
      <c r="J65" s="264">
        <f>+SUM(J60:J63)</f>
        <v>34760.01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4751.698</v>
      </c>
      <c r="P65" s="385">
        <f>+SUM(P60:P63)</f>
        <v>61470.292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-32.7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-32.7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0.027</v>
      </c>
      <c r="G68" s="270">
        <f>+'Cash-Flow-2021-Leva'!G68/1000</f>
        <v>1.532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0.027</v>
      </c>
      <c r="P68" s="387">
        <f>+G68+J68+M68</f>
        <v>1.532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0.027</v>
      </c>
      <c r="G69" s="264">
        <f>+SUM(G67:G68)</f>
        <v>-31.168000000000003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0.027</v>
      </c>
      <c r="P69" s="385">
        <f>+SUM(P67:P68)</f>
        <v>-31.168000000000003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508.353</v>
      </c>
      <c r="G71" s="231">
        <f>+'Cash-Flow-2021-Leva'!G71/1000</f>
        <v>19762.376</v>
      </c>
      <c r="H71" s="280"/>
      <c r="I71" s="241">
        <f>+'Cash-Flow-2021-Leva'!I71/1000</f>
        <v>68.654</v>
      </c>
      <c r="J71" s="231">
        <f>+'Cash-Flow-2021-Leva'!J71/1000</f>
        <v>603.263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577.0070000000001</v>
      </c>
      <c r="P71" s="362">
        <f>+G71+J71+M71</f>
        <v>20365.639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508.353</v>
      </c>
      <c r="G73" s="264">
        <f>+SUM(G71:G72)</f>
        <v>19762.376</v>
      </c>
      <c r="H73" s="280"/>
      <c r="I73" s="265">
        <f>+SUM(I71:I72)</f>
        <v>68.654</v>
      </c>
      <c r="J73" s="264">
        <f>+SUM(J71:J72)</f>
        <v>603.263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577.0070000000001</v>
      </c>
      <c r="P73" s="385">
        <f>+SUM(P71:P72)</f>
        <v>20365.639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4190.796</v>
      </c>
      <c r="G75" s="231">
        <f>+'Cash-Flow-2021-Leva'!G75/1000</f>
        <v>281408.401</v>
      </c>
      <c r="H75" s="280"/>
      <c r="I75" s="241">
        <f>+'Cash-Flow-2021-Leva'!I75/1000</f>
        <v>37182.749</v>
      </c>
      <c r="J75" s="231">
        <f>+'Cash-Flow-2021-Leva'!J75/1000</f>
        <v>125733.799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41373.545000000006</v>
      </c>
      <c r="P75" s="362">
        <f>+G75+J75+M75</f>
        <v>407142.2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-79.213</v>
      </c>
      <c r="G76" s="270">
        <f>+'Cash-Flow-2021-Leva'!G76/1000</f>
        <v>47616.723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-79.213</v>
      </c>
      <c r="P76" s="387">
        <f>+G76+J76+M76</f>
        <v>47616.723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4111.5830000000005</v>
      </c>
      <c r="G77" s="264">
        <f>+SUM(G75:G76)</f>
        <v>329025.124</v>
      </c>
      <c r="H77" s="280"/>
      <c r="I77" s="265">
        <f>+SUM(I75:I76)</f>
        <v>37182.749</v>
      </c>
      <c r="J77" s="264">
        <f>+SUM(J75:J76)</f>
        <v>125733.799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41294.332</v>
      </c>
      <c r="P77" s="385">
        <f>+SUM(P75:P76)</f>
        <v>454758.923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37473.452000000005</v>
      </c>
      <c r="G79" s="275">
        <f>+G58+G65+G69+G73+G77</f>
        <v>1107321.584</v>
      </c>
      <c r="H79" s="280"/>
      <c r="I79" s="272">
        <f>+I58+I65+I69+I73+I77</f>
        <v>42290.380000000005</v>
      </c>
      <c r="J79" s="275">
        <f>+J58+J65+J69+J73+J77</f>
        <v>234861.195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79763.832</v>
      </c>
      <c r="P79" s="395">
        <f>+P58+P65+P69+P73+P77</f>
        <v>1342182.779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81461.453</v>
      </c>
      <c r="G81" s="258">
        <f>+'Cash-Flow-2021-Leva'!G81/1000</f>
        <v>1126444.87</v>
      </c>
      <c r="H81" s="280"/>
      <c r="I81" s="259">
        <f>+'Cash-Flow-2021-Leva'!I81/1000</f>
        <v>3290.559</v>
      </c>
      <c r="J81" s="258">
        <f>+'Cash-Flow-2021-Leva'!J81/1000</f>
        <v>119917.274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84752.01199999999</v>
      </c>
      <c r="P81" s="381">
        <f>+G81+J81+M81</f>
        <v>1246362.144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170594.399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170594.399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81461.453</v>
      </c>
      <c r="G83" s="273">
        <f>+G81+G82</f>
        <v>1126444.87</v>
      </c>
      <c r="H83" s="280"/>
      <c r="I83" s="274">
        <f>+I81+I82</f>
        <v>3290.559</v>
      </c>
      <c r="J83" s="273">
        <f>+J81+J82</f>
        <v>290511.673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84752.01199999999</v>
      </c>
      <c r="P83" s="390">
        <f>+P81+P82</f>
        <v>1416956.543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47402.556999999986</v>
      </c>
      <c r="G85" s="294">
        <f>+G50-G79+G83</f>
        <v>64616.97800000012</v>
      </c>
      <c r="H85" s="280"/>
      <c r="I85" s="295">
        <f>+I50-I79+I83</f>
        <v>-38654.324</v>
      </c>
      <c r="J85" s="294">
        <f>+J50-J79+J83</f>
        <v>57640.129000000015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8748.232999999993</v>
      </c>
      <c r="P85" s="392">
        <f>+P50-P79+P83</f>
        <v>122257.10699999984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-47402.55699999999</v>
      </c>
      <c r="G86" s="296">
        <f>+G103+G122+G129-G134</f>
        <v>-64616.97800000002</v>
      </c>
      <c r="H86" s="280"/>
      <c r="I86" s="297">
        <f>+I103+I122+I129-I134</f>
        <v>38654.32399999999</v>
      </c>
      <c r="J86" s="296">
        <f>+J103+J122+J129-J134</f>
        <v>-57640.129</v>
      </c>
      <c r="K86" s="280"/>
      <c r="L86" s="297">
        <f>+L103+L122+L129-L134</f>
        <v>1.2732925824820995E-11</v>
      </c>
      <c r="M86" s="296">
        <f>+M103+M122+M129-M134</f>
        <v>0</v>
      </c>
      <c r="N86" s="466"/>
      <c r="O86" s="393">
        <f>+O103+O122+O129-O134</f>
        <v>-8748.232999999971</v>
      </c>
      <c r="P86" s="394">
        <f>+P103+P122+P129-P134</f>
        <v>-122257.10700000002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-118670.551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-118670.551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-118670.551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-118670.551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113.889</v>
      </c>
      <c r="G94" s="270">
        <f>+'Cash-Flow-2021-Leva'!G94/1000</f>
        <v>663.889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113.889</v>
      </c>
      <c r="P94" s="387">
        <f t="shared" si="7"/>
        <v>663.889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113.889</v>
      </c>
      <c r="G97" s="238">
        <f>+SUM(G93:G96)</f>
        <v>663.889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113.889</v>
      </c>
      <c r="P97" s="366">
        <f>+SUM(P93:P96)</f>
        <v>663.889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11.528</v>
      </c>
      <c r="G100" s="270">
        <f>+'Cash-Flow-2021-Leva'!G100/1000</f>
        <v>-3.024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11.528</v>
      </c>
      <c r="P100" s="387">
        <f>+G100+J100+M100</f>
        <v>-3.024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11.528</v>
      </c>
      <c r="G101" s="238">
        <f>+SUM(G99:G100)</f>
        <v>-3.024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11.528</v>
      </c>
      <c r="P101" s="366">
        <f>+SUM(P99:P100)</f>
        <v>-3.024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125.417</v>
      </c>
      <c r="G103" s="260">
        <f>+G91+G97+G101</f>
        <v>-118009.68600000002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125.417</v>
      </c>
      <c r="P103" s="383">
        <f>+P91+P97+P101</f>
        <v>-118009.68600000002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-6028.176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-6028.176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-6028.176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-6028.176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-5.984</v>
      </c>
      <c r="G118" s="231">
        <f>+'Cash-Flow-2021-Leva'!G118/1000</f>
        <v>-128.376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-1498.094</v>
      </c>
      <c r="M118" s="231">
        <f>+'Cash-Flow-2021-Leva'!M118/1000</f>
        <v>4159.204</v>
      </c>
      <c r="N118" s="466"/>
      <c r="O118" s="369">
        <f>+F118+I118+L118</f>
        <v>-1504.078</v>
      </c>
      <c r="P118" s="362">
        <f>+G118+J118+M118</f>
        <v>4030.8279999999995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0.174</v>
      </c>
      <c r="G119" s="270">
        <f>+'Cash-Flow-2021-Leva'!G119/1000</f>
        <v>2.789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0.174</v>
      </c>
      <c r="P119" s="387">
        <f>+G119+J119+M119</f>
        <v>2.789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-5.81</v>
      </c>
      <c r="G120" s="264">
        <f>+SUM(G118:G119)</f>
        <v>-125.587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-1498.094</v>
      </c>
      <c r="M120" s="264">
        <f>+SUM(M118:M119)</f>
        <v>4159.204</v>
      </c>
      <c r="N120" s="466"/>
      <c r="O120" s="384">
        <f>+SUM(O118:O119)</f>
        <v>-1503.904</v>
      </c>
      <c r="P120" s="385">
        <f>+SUM(P118:P119)</f>
        <v>4033.6169999999997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-5.81</v>
      </c>
      <c r="G122" s="275">
        <f>+G108+G112+G116+G120</f>
        <v>-6153.763000000001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-1498.094</v>
      </c>
      <c r="M122" s="275">
        <f>+M108+M112+M116+M120</f>
        <v>4159.204</v>
      </c>
      <c r="N122" s="466"/>
      <c r="O122" s="388">
        <f>+O108+O112+O116+O120</f>
        <v>-1503.904</v>
      </c>
      <c r="P122" s="395">
        <f>+P108+P112+P116+P120</f>
        <v>-1994.5590000000007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-46345.809</v>
      </c>
      <c r="G125" s="270">
        <f>+'Cash-Flow-2021-Leva'!G125/1000</f>
        <v>59631.833</v>
      </c>
      <c r="H125" s="280"/>
      <c r="I125" s="271">
        <f>+'Cash-Flow-2021-Leva'!I125/1000</f>
        <v>38653.84</v>
      </c>
      <c r="J125" s="270">
        <f>+'Cash-Flow-2021-Leva'!J125/1000</f>
        <v>-57641.653</v>
      </c>
      <c r="K125" s="280"/>
      <c r="L125" s="271">
        <f>+'Cash-Flow-2021-Leva'!L125/1000</f>
        <v>-1674.954</v>
      </c>
      <c r="M125" s="270">
        <f>+'Cash-Flow-2021-Leva'!M125/1000</f>
        <v>310427.62</v>
      </c>
      <c r="N125" s="466"/>
      <c r="O125" s="364">
        <f t="shared" si="8"/>
        <v>-9366.923000000004</v>
      </c>
      <c r="P125" s="387">
        <f t="shared" si="8"/>
        <v>312417.8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-718.609</v>
      </c>
      <c r="G126" s="270">
        <f>+'Cash-Flow-2021-Leva'!G126/1000</f>
        <v>-1.524</v>
      </c>
      <c r="H126" s="280"/>
      <c r="I126" s="271">
        <f>+'Cash-Flow-2021-Leva'!I126/1000</f>
        <v>0.484</v>
      </c>
      <c r="J126" s="270">
        <f>+'Cash-Flow-2021-Leva'!J126/1000</f>
        <v>1.524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-718.125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-47064.418</v>
      </c>
      <c r="G129" s="273">
        <f>+SUM(G124,G125,G126,G128)</f>
        <v>59630.309</v>
      </c>
      <c r="H129" s="280"/>
      <c r="I129" s="274">
        <f>+SUM(I124,I125,I126,I128)</f>
        <v>38654.32399999999</v>
      </c>
      <c r="J129" s="273">
        <f>+SUM(J124,J125,J126,J128)</f>
        <v>-57640.129</v>
      </c>
      <c r="K129" s="280"/>
      <c r="L129" s="274">
        <f>+SUM(L124,L125,L126,L128)</f>
        <v>-1674.954</v>
      </c>
      <c r="M129" s="273">
        <f>+SUM(M124,M125,M126,M128)</f>
        <v>310427.62</v>
      </c>
      <c r="N129" s="466"/>
      <c r="O129" s="389">
        <f>+SUM(O124,O125,O126,O128)</f>
        <v>-10085.048000000004</v>
      </c>
      <c r="P129" s="390">
        <f>+SUM(P124,P125,P126,P128)</f>
        <v>312417.8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2328.131</v>
      </c>
      <c r="G131" s="258">
        <f>+'Cash-Flow-2021-Leva'!G131/1000</f>
        <v>2273.782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317472.477</v>
      </c>
      <c r="M131" s="258">
        <f>+'Cash-Flow-2021-Leva'!M131/1000</f>
        <v>2885.935</v>
      </c>
      <c r="N131" s="466"/>
      <c r="O131" s="368">
        <f aca="true" t="shared" si="9" ref="O131:P133">+F131+I131+L131</f>
        <v>319800.608</v>
      </c>
      <c r="P131" s="381">
        <f t="shared" si="9"/>
        <v>5159.717000000001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3.082</v>
      </c>
      <c r="G132" s="270">
        <f>+'Cash-Flow-2021-Leva'!G132/1000</f>
        <v>-29.489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0.022</v>
      </c>
      <c r="M132" s="270">
        <f>+'Cash-Flow-2021-Leva'!M132/1000</f>
        <v>-0.282</v>
      </c>
      <c r="N132" s="466"/>
      <c r="O132" s="364">
        <f t="shared" si="9"/>
        <v>3.1039999999999996</v>
      </c>
      <c r="P132" s="387">
        <f t="shared" si="9"/>
        <v>-29.771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2788.959</v>
      </c>
      <c r="G133" s="270">
        <f>+'Cash-Flow-2021-Leva'!G133/1000</f>
        <v>2328.131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314299.451</v>
      </c>
      <c r="M133" s="270">
        <f>+'Cash-Flow-2021-Leva'!M133/1000</f>
        <v>317472.477</v>
      </c>
      <c r="N133" s="466"/>
      <c r="O133" s="364">
        <f t="shared" si="9"/>
        <v>317088.41</v>
      </c>
      <c r="P133" s="387">
        <f t="shared" si="9"/>
        <v>319800.608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457.746</v>
      </c>
      <c r="G134" s="278">
        <f>+G133-G131-G132</f>
        <v>83.83799999999971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-3173.0480000000125</v>
      </c>
      <c r="M134" s="278">
        <f>+M133-M131-M132</f>
        <v>314586.824</v>
      </c>
      <c r="N134" s="466"/>
      <c r="O134" s="397">
        <f>+O133-O131-O132</f>
        <v>-2715.302000000033</v>
      </c>
      <c r="P134" s="398">
        <f>+P133-P131-P132</f>
        <v>314670.662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2761.36</v>
      </c>
      <c r="G139" s="270">
        <f>+'Cash-Flow-2021-Leva'!G139/1000</f>
        <v>2761.36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2761.36</v>
      </c>
      <c r="P139" s="387">
        <f t="shared" si="10"/>
        <v>2761.36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2761.36</v>
      </c>
      <c r="G140" s="278">
        <f>+G139-G137-G138</f>
        <v>2761.36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2761.36</v>
      </c>
      <c r="P140" s="398">
        <f>+P139-P137-P138</f>
        <v>2761.36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3219.106</v>
      </c>
      <c r="G142" s="278">
        <f>+G134+G140</f>
        <v>2845.198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-3173.0480000000125</v>
      </c>
      <c r="M142" s="540">
        <f>+M134+M140</f>
        <v>314586.824</v>
      </c>
      <c r="N142" s="466"/>
      <c r="O142" s="552">
        <f>+O134+O140</f>
        <v>46.05799999996725</v>
      </c>
      <c r="P142" s="553">
        <f>+P134+P140</f>
        <v>317432.022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0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2021-03-18T15:01:40Z</dcterms:modified>
  <cp:category/>
  <cp:version/>
  <cp:contentType/>
  <cp:contentStatus/>
</cp:coreProperties>
</file>