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<sst xmlns="http://schemas.openxmlformats.org/spreadsheetml/2006/main" count="529" uniqueCount="358">
  <si>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</si>
  <si>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</si>
  <si>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</si>
  <si>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</si>
  <si>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</si>
  <si>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</si>
  <si>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</si>
  <si>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</si>
  <si>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</si>
  <si>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</si>
  <si>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</si>
  <si>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</si>
  <si>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</si>
  <si>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</si>
  <si>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</si>
  <si>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</si>
  <si>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</si>
  <si>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</si>
  <si>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</si>
  <si>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</si>
  <si>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</si>
  <si>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</si>
  <si>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</si>
  <si>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</si>
  <si>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</si>
  <si>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</si>
  <si>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</si>
  <si>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</si>
  <si>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</si>
  <si>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</si>
  <si>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</si>
  <si>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</si>
  <si>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</si>
  <si>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</si>
  <si>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</si>
  <si>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</si>
  <si>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</si>
  <si>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</si>
  <si>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</si>
  <si>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</si>
  <si>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</si>
  <si>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</si>
  <si>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</si>
  <si>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</si>
  <si>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</si>
  <si>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</si>
  <si>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</si>
  <si>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</si>
  <si>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</si>
  <si>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</si>
  <si>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</si>
  <si>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</si>
  <si>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</si>
  <si>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</si>
  <si>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</si>
  <si>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</si>
  <si>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</si>
  <si>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</si>
  <si>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</si>
  <si>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</si>
  <si>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</si>
  <si>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</si>
  <si>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</si>
  <si>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</si>
  <si>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</si>
  <si>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</si>
  <si>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</si>
  <si>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</si>
  <si>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</si>
  <si>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</si>
  <si>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</si>
  <si>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</si>
  <si>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</si>
  <si>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</si>
  <si>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</si>
  <si>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</si>
  <si>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</si>
  <si>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</si>
  <si>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</si>
  <si>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</si>
  <si>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</si>
  <si>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</si>
  <si>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</si>
  <si>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</si>
  <si>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</si>
  <si>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</si>
  <si>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</si>
  <si>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</si>
  <si>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</si>
  <si>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</si>
  <si>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</si>
  <si>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</si>
  <si>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</si>
  <si>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</si>
  <si>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</si>
  <si>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</si>
  <si>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</si>
  <si>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</si>
  <si>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</si>
  <si>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</si>
  <si>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</si>
  <si>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</si>
  <si>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</si>
  <si>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</si>
  <si>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</si>
  <si>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</si>
  <si>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</si>
  <si>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</si>
  <si>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</si>
  <si>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</si>
  <si>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</si>
  <si>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</si>
  <si>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</si>
  <si>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</si>
  <si>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</si>
  <si>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</si>
  <si>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</si>
  <si>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</si>
  <si>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</si>
  <si>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</si>
  <si>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</si>
  <si>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</si>
  <si>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</si>
  <si>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</si>
  <si>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</si>
  <si>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</si>
  <si>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</si>
  <si>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</si>
  <si>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</si>
  <si>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</si>
  <si>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</si>
  <si>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</si>
  <si>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</si>
  <si>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</si>
  <si>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</si>
  <si>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</si>
  <si>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</si>
  <si>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</si>
  <si>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</si>
  <si>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</si>
  <si>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</si>
  <si>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</si>
  <si>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</si>
  <si>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</si>
  <si>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</si>
  <si>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</si>
  <si>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</si>
  <si>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</si>
  <si>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</si>
  <si>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</si>
  <si>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</si>
  <si>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</si>
  <si>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</si>
  <si>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</si>
  <si>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</si>
  <si>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</si>
  <si>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</si>
  <si>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</si>
  <si>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</si>
  <si>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</si>
  <si>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</si>
  <si>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</si>
  <si>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</si>
  <si>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</si>
  <si>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</si>
  <si>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</si>
  <si>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</si>
  <si>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</si>
  <si>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</si>
  <si>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</si>
  <si>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</si>
  <si>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</si>
  <si>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</si>
  <si>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</si>
  <si>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</si>
  <si>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</si>
  <si>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</si>
  <si>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</si>
  <si>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</si>
  <si>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</si>
  <si>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</si>
  <si>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</si>
  <si>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</si>
  <si>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</si>
  <si>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</si>
  <si>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</si>
  <si>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</si>
  <si>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</si>
  <si>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</si>
  <si>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</si>
  <si>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</si>
  <si>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</si>
  <si>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</si>
  <si>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</si>
  <si>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</si>
  <si>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</si>
  <si>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</si>
  <si>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</si>
  <si>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</si>
  <si>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</si>
  <si>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</si>
  <si>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</si>
  <si>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</si>
  <si>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</si>
  <si>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</si>
  <si>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</si>
  <si>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</si>
  <si>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</si>
  <si>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</si>
  <si>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</si>
  <si>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</si>
  <si>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</si>
  <si>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</si>
  <si>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</si>
  <si>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</si>
  <si>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</si>
  <si>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</si>
  <si>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</si>
  <si>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</si>
  <si>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</si>
  <si>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</si>
  <si>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</si>
  <si>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</si>
  <si>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</si>
  <si>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</si>
  <si>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</si>
  <si>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</si>
  <si>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</si>
  <si>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</si>
  <si>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</si>
  <si>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</si>
  <si>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</si>
  <si>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</si>
  <si>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</si>
  <si>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</si>
  <si>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</si>
  <si>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</si>
  <si>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</si>
  <si>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</si>
  <si>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</si>
  <si>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</si>
  <si>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</si>
  <si>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</si>
  <si>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</si>
  <si>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</si>
  <si>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</si>
  <si>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</si>
  <si>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</si>
  <si>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</si>
  <si>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</si>
  <si>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</si>
  <si>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</si>
  <si>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</si>
  <si>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</si>
  <si>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</si>
  <si>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</si>
  <si>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</si>
  <si>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</si>
  <si>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</si>
  <si>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</si>
  <si>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</si>
  <si>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</si>
  <si>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</si>
  <si>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</si>
  <si>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</si>
  <si>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</si>
  <si>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</si>
  <si>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</si>
  <si>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</si>
  <si>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</si>
  <si>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</si>
  <si>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</si>
  <si>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</si>
  <si>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</si>
  <si>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</si>
  <si>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</si>
  <si>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</si>
  <si>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</si>
  <si>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</si>
  <si>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</si>
  <si>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</si>
  <si>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</si>
  <si>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</si>
  <si>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</si>
  <si>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</si>
  <si>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</si>
  <si>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</si>
  <si>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</si>
  <si>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</si>
  <si>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</si>
  <si>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</si>
  <si>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</si>
  <si>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</si>
  <si>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</si>
  <si>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</si>
  <si>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</si>
  <si>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</si>
  <si>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</si>
  <si>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</si>
  <si>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</si>
  <si>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</si>
  <si>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</si>
  <si>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</si>
  <si>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</si>
  <si>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</si>
  <si>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</si>
  <si>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</si>
  <si>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</si>
  <si>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</si>
  <si>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</si>
  <si>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</si>
  <si>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</si>
  <si>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</si>
  <si>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</si>
  <si>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</si>
  <si>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</si>
  <si>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</si>
  <si>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</si>
  <si>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</si>
  <si>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</si>
  <si>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</si>
  <si>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</si>
  <si>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</si>
  <si>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</si>
  <si>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</si>
  <si>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</si>
  <si>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</si>
  <si>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</si>
  <si>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</si>
  <si>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</si>
  <si>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</si>
  <si>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</si>
  <si>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</si>
  <si>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</si>
  <si>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</si>
  <si>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</si>
  <si>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</si>
  <si>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</si>
  <si>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</si>
  <si>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</si>
  <si>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</si>
  <si>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</si>
  <si>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</si>
  <si>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</si>
  <si>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</si>
  <si>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</si>
  <si>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</si>
  <si>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</si>
  <si>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</si>
  <si>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</si>
  <si>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</si>
  <si>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</si>
  <si>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</si>
  <si>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</si>
  <si>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Мария Беломорова</t>
  </si>
  <si>
    <t>Кирил Ананиев</t>
  </si>
  <si>
    <t>МИНИСТЕРСТВО НА ЗДРАВЕОПАЗВАНЕТО</t>
  </si>
  <si>
    <t>02/9301-403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</si>
</sst>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8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5" fontId="145" fillId="39" borderId="22" xfId="0" applyNumberFormat="1" applyFont="1" applyFill="1" applyBorder="1" applyAlignment="1" applyProtection="1" quotePrefix="1">
      <alignment horizontal="center"/>
      <protection/>
    </xf>
    <xf numFmtId="174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48" fillId="39" borderId="23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4" applyNumberFormat="1" applyFont="1" applyFill="1" applyAlignment="1" applyProtection="1">
      <alignment/>
      <protection/>
    </xf>
    <xf numFmtId="176" fontId="14" fillId="37" borderId="0" xfId="63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3" fontId="149" fillId="41" borderId="22" xfId="0" applyNumberFormat="1" applyFont="1" applyFill="1" applyBorder="1" applyAlignment="1" applyProtection="1" quotePrefix="1">
      <alignment horizontal="center"/>
      <protection/>
    </xf>
    <xf numFmtId="174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3" fontId="150" fillId="42" borderId="22" xfId="0" applyNumberFormat="1" applyFont="1" applyFill="1" applyBorder="1" applyAlignment="1" applyProtection="1" quotePrefix="1">
      <alignment horizontal="center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4" fillId="32" borderId="30" xfId="0" applyNumberFormat="1" applyFont="1" applyFill="1" applyBorder="1" applyAlignment="1" applyProtection="1">
      <alignment horizontal="center"/>
      <protection/>
    </xf>
    <xf numFmtId="168" fontId="12" fillId="32" borderId="30" xfId="0" applyNumberFormat="1" applyFont="1" applyFill="1" applyBorder="1" applyAlignment="1" applyProtection="1">
      <alignment horizontal="center"/>
      <protection/>
    </xf>
    <xf numFmtId="168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4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174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168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7" fontId="152" fillId="33" borderId="30" xfId="0" applyNumberFormat="1" applyFont="1" applyFill="1" applyBorder="1" applyAlignment="1" applyProtection="1">
      <alignment horizontal="center"/>
      <protection locked="0"/>
    </xf>
    <xf numFmtId="177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8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4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 applyProtection="1">
      <alignment/>
      <protection locked="0"/>
    </xf>
    <xf numFmtId="178" fontId="4" fillId="33" borderId="77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44" borderId="73" xfId="0" applyNumberFormat="1" applyFont="1" applyFill="1" applyBorder="1" applyAlignment="1" applyProtection="1">
      <alignment/>
      <protection/>
    </xf>
    <xf numFmtId="178" fontId="4" fillId="44" borderId="73" xfId="0" applyNumberFormat="1" applyFont="1" applyFill="1" applyBorder="1" applyAlignment="1" applyProtection="1">
      <alignment/>
      <protection/>
    </xf>
    <xf numFmtId="178" fontId="3" fillId="44" borderId="75" xfId="0" applyNumberFormat="1" applyFont="1" applyFill="1" applyBorder="1" applyAlignment="1" applyProtection="1">
      <alignment/>
      <protection/>
    </xf>
    <xf numFmtId="178" fontId="4" fillId="44" borderId="75" xfId="0" applyNumberFormat="1" applyFont="1" applyFill="1" applyBorder="1" applyAlignment="1" applyProtection="1">
      <alignment/>
      <protection/>
    </xf>
    <xf numFmtId="178" fontId="3" fillId="44" borderId="76" xfId="0" applyNumberFormat="1" applyFont="1" applyFill="1" applyBorder="1" applyAlignment="1" applyProtection="1">
      <alignment/>
      <protection/>
    </xf>
    <xf numFmtId="178" fontId="4" fillId="44" borderId="76" xfId="0" applyNumberFormat="1" applyFont="1" applyFill="1" applyBorder="1" applyAlignment="1" applyProtection="1">
      <alignment/>
      <protection/>
    </xf>
    <xf numFmtId="178" fontId="3" fillId="44" borderId="77" xfId="0" applyNumberFormat="1" applyFont="1" applyFill="1" applyBorder="1" applyAlignment="1" applyProtection="1">
      <alignment/>
      <protection/>
    </xf>
    <xf numFmtId="178" fontId="4" fillId="44" borderId="77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4" fillId="44" borderId="78" xfId="0" applyNumberFormat="1" applyFont="1" applyFill="1" applyBorder="1" applyAlignment="1" applyProtection="1">
      <alignment/>
      <protection locked="0"/>
    </xf>
    <xf numFmtId="178" fontId="12" fillId="44" borderId="78" xfId="0" applyNumberFormat="1" applyFont="1" applyFill="1" applyBorder="1" applyAlignment="1" applyProtection="1">
      <alignment/>
      <protection locked="0"/>
    </xf>
    <xf numFmtId="178" fontId="34" fillId="44" borderId="76" xfId="0" applyNumberFormat="1" applyFont="1" applyFill="1" applyBorder="1" applyAlignment="1" applyProtection="1">
      <alignment/>
      <protection locked="0"/>
    </xf>
    <xf numFmtId="178" fontId="12" fillId="44" borderId="76" xfId="0" applyNumberFormat="1" applyFont="1" applyFill="1" applyBorder="1" applyAlignment="1" applyProtection="1">
      <alignment/>
      <protection locked="0"/>
    </xf>
    <xf numFmtId="178" fontId="34" fillId="44" borderId="79" xfId="0" applyNumberFormat="1" applyFont="1" applyFill="1" applyBorder="1" applyAlignment="1" applyProtection="1">
      <alignment/>
      <protection locked="0"/>
    </xf>
    <xf numFmtId="178" fontId="12" fillId="44" borderId="79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" fillId="39" borderId="80" xfId="0" applyNumberFormat="1" applyFont="1" applyFill="1" applyBorder="1" applyAlignment="1" applyProtection="1">
      <alignment/>
      <protection/>
    </xf>
    <xf numFmtId="178" fontId="4" fillId="39" borderId="80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46" borderId="10" xfId="0" applyNumberFormat="1" applyFont="1" applyFill="1" applyBorder="1" applyAlignment="1" applyProtection="1">
      <alignment/>
      <protection/>
    </xf>
    <xf numFmtId="178" fontId="4" fillId="46" borderId="10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 locked="0"/>
    </xf>
    <xf numFmtId="178" fontId="4" fillId="33" borderId="79" xfId="0" applyNumberFormat="1" applyFont="1" applyFill="1" applyBorder="1" applyAlignment="1" applyProtection="1">
      <alignment/>
      <protection locked="0"/>
    </xf>
    <xf numFmtId="178" fontId="34" fillId="44" borderId="81" xfId="0" applyNumberFormat="1" applyFont="1" applyFill="1" applyBorder="1" applyAlignment="1" applyProtection="1">
      <alignment/>
      <protection locked="0"/>
    </xf>
    <xf numFmtId="178" fontId="12" fillId="44" borderId="81" xfId="0" applyNumberFormat="1" applyFont="1" applyFill="1" applyBorder="1" applyAlignment="1" applyProtection="1">
      <alignment/>
      <protection locked="0"/>
    </xf>
    <xf numFmtId="178" fontId="3" fillId="33" borderId="77" xfId="0" applyNumberFormat="1" applyFont="1" applyFill="1" applyBorder="1" applyAlignment="1" applyProtection="1">
      <alignment/>
      <protection/>
    </xf>
    <xf numFmtId="178" fontId="4" fillId="33" borderId="77" xfId="0" applyNumberFormat="1" applyFont="1" applyFill="1" applyBorder="1" applyAlignment="1" applyProtection="1">
      <alignment/>
      <protection/>
    </xf>
    <xf numFmtId="178" fontId="4" fillId="48" borderId="80" xfId="0" applyNumberFormat="1" applyFont="1" applyFill="1" applyBorder="1" applyAlignment="1" applyProtection="1">
      <alignment/>
      <protection/>
    </xf>
    <xf numFmtId="178" fontId="3" fillId="5" borderId="80" xfId="0" applyNumberFormat="1" applyFont="1" applyFill="1" applyBorder="1" applyAlignment="1" applyProtection="1">
      <alignment/>
      <protection/>
    </xf>
    <xf numFmtId="178" fontId="4" fillId="5" borderId="80" xfId="0" applyNumberFormat="1" applyFont="1" applyFill="1" applyBorder="1" applyAlignment="1" applyProtection="1">
      <alignment/>
      <protection/>
    </xf>
    <xf numFmtId="178" fontId="3" fillId="48" borderId="80" xfId="0" applyNumberFormat="1" applyFont="1" applyFill="1" applyBorder="1" applyAlignment="1" applyProtection="1">
      <alignment/>
      <protection/>
    </xf>
    <xf numFmtId="178" fontId="3" fillId="47" borderId="77" xfId="0" applyNumberFormat="1" applyFont="1" applyFill="1" applyBorder="1" applyAlignment="1" applyProtection="1">
      <alignment/>
      <protection/>
    </xf>
    <xf numFmtId="178" fontId="4" fillId="47" borderId="77" xfId="0" applyNumberFormat="1" applyFont="1" applyFill="1" applyBorder="1" applyAlignment="1" applyProtection="1">
      <alignment/>
      <protection/>
    </xf>
    <xf numFmtId="178" fontId="3" fillId="33" borderId="82" xfId="0" applyNumberFormat="1" applyFont="1" applyFill="1" applyBorder="1" applyAlignment="1" applyProtection="1">
      <alignment/>
      <protection/>
    </xf>
    <xf numFmtId="178" fontId="4" fillId="33" borderId="82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34" fillId="44" borderId="78" xfId="0" applyNumberFormat="1" applyFont="1" applyFill="1" applyBorder="1" applyAlignment="1" applyProtection="1">
      <alignment/>
      <protection/>
    </xf>
    <xf numFmtId="178" fontId="12" fillId="44" borderId="78" xfId="0" applyNumberFormat="1" applyFont="1" applyFill="1" applyBorder="1" applyAlignment="1" applyProtection="1">
      <alignment/>
      <protection/>
    </xf>
    <xf numFmtId="178" fontId="34" fillId="44" borderId="76" xfId="0" applyNumberFormat="1" applyFont="1" applyFill="1" applyBorder="1" applyAlignment="1" applyProtection="1">
      <alignment/>
      <protection/>
    </xf>
    <xf numFmtId="178" fontId="12" fillId="44" borderId="76" xfId="0" applyNumberFormat="1" applyFont="1" applyFill="1" applyBorder="1" applyAlignment="1" applyProtection="1">
      <alignment/>
      <protection/>
    </xf>
    <xf numFmtId="178" fontId="34" fillId="44" borderId="79" xfId="0" applyNumberFormat="1" applyFont="1" applyFill="1" applyBorder="1" applyAlignment="1" applyProtection="1">
      <alignment/>
      <protection/>
    </xf>
    <xf numFmtId="178" fontId="12" fillId="44" borderId="79" xfId="0" applyNumberFormat="1" applyFont="1" applyFill="1" applyBorder="1" applyAlignment="1" applyProtection="1">
      <alignment/>
      <protection/>
    </xf>
    <xf numFmtId="178" fontId="3" fillId="33" borderId="79" xfId="0" applyNumberFormat="1" applyFont="1" applyFill="1" applyBorder="1" applyAlignment="1" applyProtection="1">
      <alignment/>
      <protection/>
    </xf>
    <xf numFmtId="178" fontId="4" fillId="33" borderId="79" xfId="0" applyNumberFormat="1" applyFont="1" applyFill="1" applyBorder="1" applyAlignment="1" applyProtection="1">
      <alignment/>
      <protection/>
    </xf>
    <xf numFmtId="178" fontId="34" fillId="44" borderId="81" xfId="0" applyNumberFormat="1" applyFont="1" applyFill="1" applyBorder="1" applyAlignment="1" applyProtection="1">
      <alignment/>
      <protection/>
    </xf>
    <xf numFmtId="178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8" fontId="3" fillId="39" borderId="83" xfId="0" applyNumberFormat="1" applyFont="1" applyFill="1" applyBorder="1" applyAlignment="1" applyProtection="1">
      <alignment/>
      <protection/>
    </xf>
    <xf numFmtId="178" fontId="4" fillId="39" borderId="83" xfId="0" applyNumberFormat="1" applyFont="1" applyFill="1" applyBorder="1" applyAlignment="1" applyProtection="1">
      <alignment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8" fontId="5" fillId="39" borderId="69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168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8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56" fillId="41" borderId="23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4" xfId="0" applyNumberFormat="1" applyFont="1" applyFill="1" applyBorder="1" applyAlignment="1" applyProtection="1" quotePrefix="1">
      <alignment horizontal="center" wrapText="1"/>
      <protection/>
    </xf>
    <xf numFmtId="173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93" xfId="0" applyNumberFormat="1" applyFont="1" applyFill="1" applyBorder="1" applyAlignment="1" applyProtection="1">
      <alignment/>
      <protection/>
    </xf>
    <xf numFmtId="178" fontId="4" fillId="32" borderId="86" xfId="0" applyNumberFormat="1" applyFont="1" applyFill="1" applyBorder="1" applyAlignment="1" applyProtection="1">
      <alignment/>
      <protection/>
    </xf>
    <xf numFmtId="178" fontId="3" fillId="32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44" borderId="88" xfId="0" applyNumberFormat="1" applyFont="1" applyFill="1" applyBorder="1" applyAlignment="1" applyProtection="1">
      <alignment/>
      <protection/>
    </xf>
    <xf numFmtId="178" fontId="3" fillId="44" borderId="89" xfId="0" applyNumberFormat="1" applyFont="1" applyFill="1" applyBorder="1" applyAlignment="1" applyProtection="1">
      <alignment/>
      <protection/>
    </xf>
    <xf numFmtId="178" fontId="4" fillId="44" borderId="94" xfId="0" applyNumberFormat="1" applyFont="1" applyFill="1" applyBorder="1" applyAlignment="1" applyProtection="1">
      <alignment/>
      <protection/>
    </xf>
    <xf numFmtId="178" fontId="3" fillId="44" borderId="95" xfId="0" applyNumberFormat="1" applyFont="1" applyFill="1" applyBorder="1" applyAlignment="1" applyProtection="1">
      <alignment/>
      <protection/>
    </xf>
    <xf numFmtId="178" fontId="4" fillId="44" borderId="92" xfId="0" applyNumberFormat="1" applyFont="1" applyFill="1" applyBorder="1" applyAlignment="1" applyProtection="1">
      <alignment/>
      <protection/>
    </xf>
    <xf numFmtId="178" fontId="3" fillId="44" borderId="96" xfId="0" applyNumberFormat="1" applyFont="1" applyFill="1" applyBorder="1" applyAlignment="1" applyProtection="1">
      <alignment/>
      <protection/>
    </xf>
    <xf numFmtId="178" fontId="4" fillId="44" borderId="93" xfId="0" applyNumberFormat="1" applyFont="1" applyFill="1" applyBorder="1" applyAlignment="1" applyProtection="1">
      <alignment/>
      <protection/>
    </xf>
    <xf numFmtId="178" fontId="3" fillId="44" borderId="97" xfId="0" applyNumberFormat="1" applyFont="1" applyFill="1" applyBorder="1" applyAlignment="1" applyProtection="1">
      <alignment/>
      <protection/>
    </xf>
    <xf numFmtId="178" fontId="12" fillId="44" borderId="98" xfId="0" applyNumberFormat="1" applyFont="1" applyFill="1" applyBorder="1" applyAlignment="1" applyProtection="1">
      <alignment/>
      <protection/>
    </xf>
    <xf numFmtId="178" fontId="12" fillId="44" borderId="92" xfId="0" applyNumberFormat="1" applyFont="1" applyFill="1" applyBorder="1" applyAlignment="1" applyProtection="1">
      <alignment/>
      <protection/>
    </xf>
    <xf numFmtId="178" fontId="12" fillId="44" borderId="99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46" borderId="86" xfId="0" applyNumberFormat="1" applyFont="1" applyFill="1" applyBorder="1" applyAlignment="1" applyProtection="1">
      <alignment/>
      <protection/>
    </xf>
    <xf numFmtId="178" fontId="3" fillId="46" borderId="87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97" xfId="0" applyNumberFormat="1" applyFont="1" applyFill="1" applyBorder="1" applyAlignment="1" applyProtection="1">
      <alignment/>
      <protection/>
    </xf>
    <xf numFmtId="178" fontId="4" fillId="48" borderId="100" xfId="0" applyNumberFormat="1" applyFont="1" applyFill="1" applyBorder="1" applyAlignment="1" applyProtection="1">
      <alignment/>
      <protection/>
    </xf>
    <xf numFmtId="178" fontId="4" fillId="5" borderId="100" xfId="0" applyNumberFormat="1" applyFont="1" applyFill="1" applyBorder="1" applyAlignment="1" applyProtection="1">
      <alignment/>
      <protection/>
    </xf>
    <xf numFmtId="178" fontId="3" fillId="5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4" fillId="39" borderId="104" xfId="0" applyNumberFormat="1" applyFont="1" applyFill="1" applyBorder="1" applyAlignment="1" applyProtection="1">
      <alignment/>
      <protection/>
    </xf>
    <xf numFmtId="178" fontId="3" fillId="39" borderId="105" xfId="0" applyNumberFormat="1" applyFont="1" applyFill="1" applyBorder="1" applyAlignment="1" applyProtection="1">
      <alignment/>
      <protection/>
    </xf>
    <xf numFmtId="178" fontId="3" fillId="48" borderId="101" xfId="0" applyNumberFormat="1" applyFont="1" applyFill="1" applyBorder="1" applyAlignment="1" applyProtection="1">
      <alignment/>
      <protection/>
    </xf>
    <xf numFmtId="178" fontId="3" fillId="47" borderId="97" xfId="0" applyNumberFormat="1" applyFont="1" applyFill="1" applyBorder="1" applyAlignment="1" applyProtection="1">
      <alignment/>
      <protection/>
    </xf>
    <xf numFmtId="178" fontId="4" fillId="33" borderId="104" xfId="0" applyNumberFormat="1" applyFont="1" applyFill="1" applyBorder="1" applyAlignment="1" applyProtection="1">
      <alignment/>
      <protection/>
    </xf>
    <xf numFmtId="178" fontId="3" fillId="33" borderId="105" xfId="0" applyNumberFormat="1" applyFont="1" applyFill="1" applyBorder="1" applyAlignment="1" applyProtection="1">
      <alignment/>
      <protection/>
    </xf>
    <xf numFmtId="185" fontId="148" fillId="39" borderId="22" xfId="0" applyNumberFormat="1" applyFont="1" applyFill="1" applyBorder="1" applyAlignment="1" applyProtection="1" quotePrefix="1">
      <alignment horizontal="center"/>
      <protection/>
    </xf>
    <xf numFmtId="185" fontId="155" fillId="42" borderId="22" xfId="0" applyNumberFormat="1" applyFont="1" applyFill="1" applyBorder="1" applyAlignment="1" applyProtection="1" quotePrefix="1">
      <alignment horizontal="center"/>
      <protection/>
    </xf>
    <xf numFmtId="185" fontId="156" fillId="41" borderId="22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8" fillId="38" borderId="108" xfId="0" applyNumberFormat="1" applyFont="1" applyFill="1" applyBorder="1" applyAlignment="1" applyProtection="1">
      <alignment horizontal="center"/>
      <protection/>
    </xf>
    <xf numFmtId="176" fontId="157" fillId="38" borderId="107" xfId="0" applyNumberFormat="1" applyFont="1" applyFill="1" applyBorder="1" applyAlignment="1" applyProtection="1">
      <alignment horizontal="center"/>
      <protection/>
    </xf>
    <xf numFmtId="176" fontId="157" fillId="38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76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8" fontId="15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6" xfId="0" applyNumberFormat="1" applyFont="1" applyFill="1" applyBorder="1" applyAlignment="1" applyProtection="1">
      <alignment/>
      <protection/>
    </xf>
    <xf numFmtId="178" fontId="34" fillId="44" borderId="111" xfId="0" applyNumberFormat="1" applyFont="1" applyFill="1" applyBorder="1" applyAlignment="1" applyProtection="1">
      <alignment/>
      <protection/>
    </xf>
    <xf numFmtId="178" fontId="34" fillId="44" borderId="96" xfId="0" applyNumberFormat="1" applyFont="1" applyFill="1" applyBorder="1" applyAlignment="1" applyProtection="1">
      <alignment/>
      <protection/>
    </xf>
    <xf numFmtId="178" fontId="34" fillId="44" borderId="112" xfId="0" applyNumberFormat="1" applyFont="1" applyFill="1" applyBorder="1" applyAlignment="1" applyProtection="1">
      <alignment/>
      <protection/>
    </xf>
    <xf numFmtId="178" fontId="3" fillId="33" borderId="112" xfId="0" applyNumberFormat="1" applyFont="1" applyFill="1" applyBorder="1" applyAlignment="1" applyProtection="1">
      <alignment/>
      <protection/>
    </xf>
    <xf numFmtId="178" fontId="12" fillId="44" borderId="113" xfId="0" applyNumberFormat="1" applyFont="1" applyFill="1" applyBorder="1" applyAlignment="1" applyProtection="1">
      <alignment/>
      <protection/>
    </xf>
    <xf numFmtId="178" fontId="34" fillId="44" borderId="114" xfId="0" applyNumberFormat="1" applyFont="1" applyFill="1" applyBorder="1" applyAlignment="1" applyProtection="1">
      <alignment/>
      <protection/>
    </xf>
    <xf numFmtId="178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8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6" fontId="57" fillId="50" borderId="30" xfId="63" applyNumberFormat="1" applyFont="1" applyFill="1" applyBorder="1" applyAlignment="1" applyProtection="1">
      <alignment horizontal="center" vertical="center"/>
      <protection locked="0"/>
    </xf>
    <xf numFmtId="168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4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6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8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6" fontId="164" fillId="33" borderId="30" xfId="63" applyNumberFormat="1" applyFont="1" applyFill="1" applyBorder="1" applyAlignment="1" applyProtection="1">
      <alignment horizontal="center" vertical="center"/>
      <protection/>
    </xf>
    <xf numFmtId="166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8" fontId="6" fillId="33" borderId="64" xfId="0" applyNumberFormat="1" applyFont="1" applyFill="1" applyBorder="1" applyAlignment="1" applyProtection="1">
      <alignment horizontal="right"/>
      <protection/>
    </xf>
    <xf numFmtId="178" fontId="6" fillId="32" borderId="64" xfId="0" applyNumberFormat="1" applyFont="1" applyFill="1" applyBorder="1" applyAlignment="1" applyProtection="1">
      <alignment horizontal="right"/>
      <protection/>
    </xf>
    <xf numFmtId="174" fontId="4" fillId="33" borderId="115" xfId="0" applyNumberFormat="1" applyFont="1" applyFill="1" applyBorder="1" applyAlignment="1" applyProtection="1" quotePrefix="1">
      <alignment horizontal="center" wrapText="1"/>
      <protection/>
    </xf>
    <xf numFmtId="178" fontId="3" fillId="47" borderId="93" xfId="0" applyNumberFormat="1" applyFont="1" applyFill="1" applyBorder="1" applyAlignment="1" applyProtection="1">
      <alignment/>
      <protection/>
    </xf>
    <xf numFmtId="168" fontId="166" fillId="33" borderId="74" xfId="0" applyNumberFormat="1" applyFont="1" applyFill="1" applyBorder="1" applyAlignment="1" applyProtection="1" quotePrefix="1">
      <alignment/>
      <protection/>
    </xf>
    <xf numFmtId="168" fontId="167" fillId="33" borderId="74" xfId="0" applyNumberFormat="1" applyFont="1" applyFill="1" applyBorder="1" applyAlignment="1" applyProtection="1" quotePrefix="1">
      <alignment/>
      <protection/>
    </xf>
    <xf numFmtId="168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6" fillId="33" borderId="119" xfId="0" applyNumberFormat="1" applyFont="1" applyFill="1" applyBorder="1" applyAlignment="1" applyProtection="1" quotePrefix="1">
      <alignment/>
      <protection/>
    </xf>
    <xf numFmtId="168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66" fillId="32" borderId="119" xfId="0" applyNumberFormat="1" applyFont="1" applyFill="1" applyBorder="1" applyAlignment="1" applyProtection="1" quotePrefix="1">
      <alignment/>
      <protection/>
    </xf>
    <xf numFmtId="168" fontId="167" fillId="32" borderId="35" xfId="0" applyNumberFormat="1" applyFont="1" applyFill="1" applyBorder="1" applyAlignment="1" applyProtection="1" quotePrefix="1">
      <alignment/>
      <protection/>
    </xf>
    <xf numFmtId="168" fontId="166" fillId="33" borderId="90" xfId="0" applyNumberFormat="1" applyFont="1" applyFill="1" applyBorder="1" applyAlignment="1" applyProtection="1" quotePrefix="1">
      <alignment/>
      <protection/>
    </xf>
    <xf numFmtId="168" fontId="167" fillId="33" borderId="91" xfId="0" applyNumberFormat="1" applyFont="1" applyFill="1" applyBorder="1" applyAlignment="1" applyProtection="1" quotePrefix="1">
      <alignment/>
      <protection/>
    </xf>
    <xf numFmtId="168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6" fontId="39" fillId="51" borderId="121" xfId="0" applyNumberFormat="1" applyFont="1" applyFill="1" applyBorder="1" applyAlignment="1" applyProtection="1">
      <alignment horizontal="center"/>
      <protection/>
    </xf>
    <xf numFmtId="176" fontId="40" fillId="43" borderId="121" xfId="0" applyNumberFormat="1" applyFont="1" applyFill="1" applyBorder="1" applyAlignment="1" applyProtection="1">
      <alignment horizontal="center"/>
      <protection/>
    </xf>
    <xf numFmtId="176" fontId="168" fillId="51" borderId="121" xfId="0" applyNumberFormat="1" applyFont="1" applyFill="1" applyBorder="1" applyAlignment="1" applyProtection="1">
      <alignment horizontal="center"/>
      <protection/>
    </xf>
    <xf numFmtId="176" fontId="169" fillId="43" borderId="121" xfId="0" applyNumberFormat="1" applyFont="1" applyFill="1" applyBorder="1" applyAlignment="1" applyProtection="1">
      <alignment horizontal="center"/>
      <protection/>
    </xf>
    <xf numFmtId="176" fontId="39" fillId="52" borderId="121" xfId="0" applyNumberFormat="1" applyFont="1" applyFill="1" applyBorder="1" applyAlignment="1" applyProtection="1">
      <alignment horizontal="center"/>
      <protection/>
    </xf>
    <xf numFmtId="176" fontId="40" fillId="52" borderId="121" xfId="0" applyNumberFormat="1" applyFont="1" applyFill="1" applyBorder="1" applyAlignment="1" applyProtection="1">
      <alignment horizontal="center"/>
      <protection/>
    </xf>
    <xf numFmtId="176" fontId="170" fillId="52" borderId="121" xfId="0" applyNumberFormat="1" applyFont="1" applyFill="1" applyBorder="1" applyAlignment="1" applyProtection="1">
      <alignment horizontal="center"/>
      <protection/>
    </xf>
    <xf numFmtId="176" fontId="169" fillId="52" borderId="121" xfId="0" applyNumberFormat="1" applyFont="1" applyFill="1" applyBorder="1" applyAlignment="1" applyProtection="1">
      <alignment horizontal="center"/>
      <protection/>
    </xf>
    <xf numFmtId="176" fontId="39" fillId="40" borderId="121" xfId="0" applyNumberFormat="1" applyFont="1" applyFill="1" applyBorder="1" applyAlignment="1" applyProtection="1">
      <alignment horizontal="center"/>
      <protection/>
    </xf>
    <xf numFmtId="176" fontId="40" fillId="40" borderId="121" xfId="0" applyNumberFormat="1" applyFont="1" applyFill="1" applyBorder="1" applyAlignment="1" applyProtection="1">
      <alignment horizontal="center"/>
      <protection/>
    </xf>
    <xf numFmtId="176" fontId="171" fillId="40" borderId="121" xfId="0" applyNumberFormat="1" applyFont="1" applyFill="1" applyBorder="1" applyAlignment="1" applyProtection="1">
      <alignment horizontal="center"/>
      <protection/>
    </xf>
    <xf numFmtId="176" fontId="172" fillId="40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8" fillId="38" borderId="123" xfId="0" applyNumberFormat="1" applyFont="1" applyFill="1" applyBorder="1" applyAlignment="1" applyProtection="1">
      <alignment horizontal="center"/>
      <protection/>
    </xf>
    <xf numFmtId="176" fontId="157" fillId="38" borderId="122" xfId="0" applyNumberFormat="1" applyFont="1" applyFill="1" applyBorder="1" applyAlignment="1" applyProtection="1">
      <alignment horizontal="center"/>
      <protection/>
    </xf>
    <xf numFmtId="176" fontId="157" fillId="38" borderId="123" xfId="0" applyNumberFormat="1" applyFont="1" applyFill="1" applyBorder="1" applyAlignment="1" applyProtection="1">
      <alignment horizontal="center"/>
      <protection/>
    </xf>
    <xf numFmtId="168" fontId="12" fillId="32" borderId="122" xfId="0" applyNumberFormat="1" applyFont="1" applyFill="1" applyBorder="1" applyAlignment="1" applyProtection="1">
      <alignment horizontal="center"/>
      <protection/>
    </xf>
    <xf numFmtId="168" fontId="34" fillId="32" borderId="109" xfId="0" applyNumberFormat="1" applyFont="1" applyFill="1" applyBorder="1" applyAlignment="1" applyProtection="1">
      <alignment horizontal="center"/>
      <protection/>
    </xf>
    <xf numFmtId="168" fontId="12" fillId="43" borderId="123" xfId="0" applyNumberFormat="1" applyFont="1" applyFill="1" applyBorder="1" applyAlignment="1" applyProtection="1">
      <alignment horizontal="center"/>
      <protection locked="0"/>
    </xf>
    <xf numFmtId="168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8" fontId="4" fillId="47" borderId="74" xfId="0" applyNumberFormat="1" applyFont="1" applyFill="1" applyBorder="1" applyAlignment="1" applyProtection="1">
      <alignment/>
      <protection/>
    </xf>
    <xf numFmtId="178" fontId="3" fillId="47" borderId="74" xfId="0" applyNumberFormat="1" applyFont="1" applyFill="1" applyBorder="1" applyAlignment="1" applyProtection="1">
      <alignment/>
      <protection/>
    </xf>
    <xf numFmtId="178" fontId="4" fillId="47" borderId="90" xfId="0" applyNumberFormat="1" applyFont="1" applyFill="1" applyBorder="1" applyAlignment="1" applyProtection="1">
      <alignment/>
      <protection/>
    </xf>
    <xf numFmtId="178" fontId="3" fillId="47" borderId="91" xfId="0" applyNumberFormat="1" applyFont="1" applyFill="1" applyBorder="1" applyAlignment="1" applyProtection="1">
      <alignment/>
      <protection/>
    </xf>
    <xf numFmtId="178" fontId="12" fillId="44" borderId="86" xfId="0" applyNumberFormat="1" applyFont="1" applyFill="1" applyBorder="1" applyAlignment="1" applyProtection="1">
      <alignment/>
      <protection/>
    </xf>
    <xf numFmtId="178" fontId="34" fillId="44" borderId="87" xfId="0" applyNumberFormat="1" applyFont="1" applyFill="1" applyBorder="1" applyAlignment="1" applyProtection="1">
      <alignment/>
      <protection/>
    </xf>
    <xf numFmtId="178" fontId="12" fillId="44" borderId="10" xfId="0" applyNumberFormat="1" applyFont="1" applyFill="1" applyBorder="1" applyAlignment="1" applyProtection="1">
      <alignment/>
      <protection/>
    </xf>
    <xf numFmtId="178" fontId="34" fillId="44" borderId="10" xfId="0" applyNumberFormat="1" applyFont="1" applyFill="1" applyBorder="1" applyAlignment="1" applyProtection="1">
      <alignment/>
      <protection/>
    </xf>
    <xf numFmtId="178" fontId="12" fillId="44" borderId="10" xfId="0" applyNumberFormat="1" applyFont="1" applyFill="1" applyBorder="1" applyAlignment="1" applyProtection="1">
      <alignment/>
      <protection locked="0"/>
    </xf>
    <xf numFmtId="178" fontId="34" fillId="44" borderId="10" xfId="0" applyNumberFormat="1" applyFont="1" applyFill="1" applyBorder="1" applyAlignment="1" applyProtection="1">
      <alignment/>
      <protection locked="0"/>
    </xf>
    <xf numFmtId="168" fontId="158" fillId="32" borderId="0" xfId="0" applyNumberFormat="1" applyFont="1" applyFill="1" applyBorder="1" applyAlignment="1" applyProtection="1" quotePrefix="1">
      <alignment horizontal="center"/>
      <protection/>
    </xf>
    <xf numFmtId="168" fontId="158" fillId="33" borderId="0" xfId="0" applyNumberFormat="1" applyFont="1" applyFill="1" applyBorder="1" applyAlignment="1" applyProtection="1" quotePrefix="1">
      <alignment horizontal="center"/>
      <protection/>
    </xf>
    <xf numFmtId="170" fontId="66" fillId="53" borderId="0" xfId="57" applyNumberFormat="1" applyFont="1" applyFill="1" applyBorder="1" applyAlignment="1">
      <alignment horizontal="center"/>
      <protection/>
    </xf>
    <xf numFmtId="173" fontId="66" fillId="53" borderId="0" xfId="57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33" borderId="0" xfId="57" applyNumberFormat="1" applyFont="1" applyFill="1" applyBorder="1" applyAlignment="1">
      <alignment/>
      <protection/>
    </xf>
    <xf numFmtId="173" fontId="24" fillId="53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2" fontId="67" fillId="32" borderId="72" xfId="57" applyNumberFormat="1" applyFont="1" applyFill="1" applyBorder="1" applyAlignment="1">
      <alignment horizontal="center"/>
      <protection/>
    </xf>
    <xf numFmtId="172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71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71" fontId="24" fillId="32" borderId="20" xfId="57" applyNumberFormat="1" applyFont="1" applyFill="1" applyBorder="1">
      <alignment/>
      <protection/>
    </xf>
    <xf numFmtId="170" fontId="24" fillId="32" borderId="20" xfId="57" applyNumberFormat="1" applyFont="1" applyFill="1" applyBorder="1" applyAlignment="1">
      <alignment horizontal="left"/>
      <protection/>
    </xf>
    <xf numFmtId="178" fontId="4" fillId="33" borderId="74" xfId="60" applyNumberFormat="1" applyFont="1" applyFill="1" applyBorder="1" applyAlignment="1" applyProtection="1">
      <alignment/>
      <protection locked="0"/>
    </xf>
    <xf numFmtId="178" fontId="4" fillId="33" borderId="77" xfId="60" applyNumberFormat="1" applyFont="1" applyFill="1" applyBorder="1" applyProtection="1">
      <alignment/>
      <protection locked="0"/>
    </xf>
    <xf numFmtId="170" fontId="24" fillId="32" borderId="0" xfId="57" applyNumberFormat="1" applyFont="1" applyFill="1" applyBorder="1" applyAlignment="1">
      <alignment horizontal="center"/>
      <protection/>
    </xf>
    <xf numFmtId="172" fontId="24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24" fillId="33" borderId="0" xfId="57" applyNumberFormat="1" applyFont="1" applyFill="1" applyBorder="1" applyAlignment="1">
      <alignment horizontal="center"/>
      <protection/>
    </xf>
    <xf numFmtId="172" fontId="24" fillId="38" borderId="0" xfId="57" applyNumberFormat="1" applyFont="1" applyFill="1" applyBorder="1" applyAlignment="1">
      <alignment horizontal="center"/>
      <protection/>
    </xf>
    <xf numFmtId="187" fontId="141" fillId="40" borderId="27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81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81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9" fontId="150" fillId="33" borderId="31" xfId="60" applyNumberFormat="1" applyFont="1" applyFill="1" applyBorder="1" applyAlignment="1" applyProtection="1">
      <alignment horizontal="center"/>
      <protection/>
    </xf>
    <xf numFmtId="179" fontId="150" fillId="33" borderId="46" xfId="60" applyNumberFormat="1" applyFont="1" applyFill="1" applyBorder="1" applyAlignment="1" applyProtection="1">
      <alignment horizontal="center"/>
      <protection/>
    </xf>
    <xf numFmtId="179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9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80" fontId="181" fillId="46" borderId="31" xfId="57" applyNumberFormat="1" applyFont="1" applyFill="1" applyBorder="1" applyAlignment="1" applyProtection="1">
      <alignment horizontal="center" vertical="center"/>
      <protection locked="0"/>
    </xf>
    <xf numFmtId="180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1" fontId="8" fillId="33" borderId="32" xfId="62" applyNumberFormat="1" applyFont="1" applyFill="1" applyBorder="1" applyAlignment="1" applyProtection="1" quotePrefix="1">
      <alignment horizontal="center" vertical="center"/>
      <protection/>
    </xf>
    <xf numFmtId="180" fontId="181" fillId="46" borderId="31" xfId="57" applyNumberFormat="1" applyFont="1" applyFill="1" applyBorder="1" applyAlignment="1" applyProtection="1">
      <alignment horizontal="center" vertical="center"/>
      <protection/>
    </xf>
    <xf numFmtId="180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179" fontId="4" fillId="32" borderId="46" xfId="60" applyNumberFormat="1" applyFont="1" applyFill="1" applyBorder="1" applyAlignment="1" applyProtection="1">
      <alignment horizontal="center"/>
      <protection/>
    </xf>
    <xf numFmtId="179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61">
        <f>+'Cash-Flow-2019-Leva'!P5</f>
        <v>2019</v>
      </c>
      <c r="M2" s="561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5">
        <f>+'Cash-Flow-2019-Leva'!P5</f>
        <v>2019</v>
      </c>
      <c r="I7" s="555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7">
        <f>+'Cash-Flow-2019-Leva'!P5</f>
        <v>2019</v>
      </c>
      <c r="G25" s="557"/>
      <c r="H25" s="557"/>
      <c r="I25" s="557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62">
        <f>+H7</f>
        <v>2019</v>
      </c>
      <c r="H32" s="562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4">
        <f>+F25-1</f>
        <v>2018</v>
      </c>
      <c r="M35" s="564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3">
        <f>+H7-1</f>
        <v>2018</v>
      </c>
      <c r="H37" s="563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8">
        <f>+'Cash-Flow-2019-Leva'!P5</f>
        <v>2019</v>
      </c>
      <c r="G48" s="558"/>
      <c r="H48" s="558"/>
      <c r="I48" s="558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0">
        <f>+'Cash-Flow-2019-Leva'!P5</f>
        <v>2019</v>
      </c>
      <c r="H49" s="560"/>
      <c r="I49" s="560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9">
        <f>+'Cash-Flow-2019-Leva'!P5</f>
        <v>2019</v>
      </c>
      <c r="G50" s="559"/>
      <c r="H50" s="559"/>
      <c r="I50" s="559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5">
        <f>+'Cash-Flow-2019-Leva'!P5</f>
        <v>2019</v>
      </c>
      <c r="F66" s="565"/>
      <c r="G66" s="565"/>
      <c r="H66" s="565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6">
        <f>+'Cash-Flow-2019-Leva'!P5</f>
        <v>2019</v>
      </c>
      <c r="I68" s="556"/>
      <c r="J68" s="556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3" topLeftCell="H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L28" sqref="L2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4" t="s">
        <v>356</v>
      </c>
      <c r="C1" s="575"/>
      <c r="D1" s="575"/>
      <c r="E1" s="575"/>
      <c r="F1" s="576"/>
      <c r="G1" s="442" t="s">
        <v>252</v>
      </c>
      <c r="H1" s="435"/>
      <c r="I1" s="566">
        <v>695317</v>
      </c>
      <c r="J1" s="567"/>
      <c r="K1" s="436"/>
      <c r="L1" s="444" t="s">
        <v>253</v>
      </c>
      <c r="M1" s="440">
        <v>1600</v>
      </c>
      <c r="N1" s="436"/>
      <c r="O1" s="444" t="s">
        <v>245</v>
      </c>
      <c r="P1" s="463" t="s">
        <v>357</v>
      </c>
      <c r="Q1" s="437"/>
      <c r="R1" s="352" t="s">
        <v>286</v>
      </c>
      <c r="S1" s="654"/>
      <c r="T1" s="655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01" t="s">
        <v>246</v>
      </c>
      <c r="C2" s="602"/>
      <c r="D2" s="602"/>
      <c r="E2" s="602"/>
      <c r="F2" s="603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81" t="s">
        <v>258</v>
      </c>
      <c r="C3" s="582"/>
      <c r="D3" s="582"/>
      <c r="E3" s="582"/>
      <c r="F3" s="583"/>
      <c r="G3" s="443" t="s">
        <v>244</v>
      </c>
      <c r="H3" s="571"/>
      <c r="I3" s="572"/>
      <c r="J3" s="572"/>
      <c r="K3" s="573"/>
      <c r="L3" s="28" t="s">
        <v>254</v>
      </c>
      <c r="M3" s="568"/>
      <c r="N3" s="569"/>
      <c r="O3" s="569"/>
      <c r="P3" s="570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5" t="s">
        <v>251</v>
      </c>
      <c r="E5" s="605"/>
      <c r="F5" s="605"/>
      <c r="G5" s="605"/>
      <c r="H5" s="605"/>
      <c r="I5" s="605"/>
      <c r="J5" s="605"/>
      <c r="K5" s="605"/>
      <c r="L5" s="605"/>
      <c r="M5" s="20"/>
      <c r="N5" s="20"/>
      <c r="O5" s="24" t="s">
        <v>17</v>
      </c>
      <c r="P5" s="461">
        <v>2019</v>
      </c>
      <c r="Q5" s="20"/>
      <c r="R5" s="588" t="s">
        <v>185</v>
      </c>
      <c r="S5" s="588"/>
      <c r="T5" s="588"/>
      <c r="U5" s="15"/>
    </row>
    <row r="6" spans="1:28" s="3" customFormat="1" ht="17.25" customHeight="1">
      <c r="A6" s="15"/>
      <c r="B6" s="27" t="s">
        <v>249</v>
      </c>
      <c r="C6" s="27"/>
      <c r="D6" s="605" t="s">
        <v>250</v>
      </c>
      <c r="E6" s="605"/>
      <c r="F6" s="605"/>
      <c r="G6" s="605"/>
      <c r="H6" s="605"/>
      <c r="I6" s="605"/>
      <c r="J6" s="605"/>
      <c r="K6" s="605"/>
      <c r="L6" s="605"/>
      <c r="M6" s="21"/>
      <c r="N6" s="16"/>
      <c r="O6" s="15"/>
      <c r="P6" s="15"/>
      <c r="Q6" s="13"/>
      <c r="R6" s="604">
        <f>+P4</f>
        <v>0</v>
      </c>
      <c r="S6" s="604"/>
      <c r="T6" s="60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80" t="str">
        <f>+B1</f>
        <v>МИНИСТЕРСТВО НА ЗДРАВЕОПАЗВАНЕТО</v>
      </c>
      <c r="E8" s="580"/>
      <c r="F8" s="580"/>
      <c r="G8" s="580"/>
      <c r="H8" s="580"/>
      <c r="I8" s="580"/>
      <c r="J8" s="580"/>
      <c r="K8" s="580"/>
      <c r="L8" s="580"/>
      <c r="M8" s="441" t="s">
        <v>255</v>
      </c>
      <c r="N8" s="16"/>
      <c r="O8" s="459" t="s">
        <v>307</v>
      </c>
      <c r="P8" s="298" t="s">
        <v>50</v>
      </c>
      <c r="Q8" s="13"/>
      <c r="R8" s="589">
        <f>+P5</f>
        <v>2019</v>
      </c>
      <c r="S8" s="590"/>
      <c r="T8" s="59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2" t="s">
        <v>0</v>
      </c>
      <c r="S10" s="593"/>
      <c r="T10" s="59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31.08.2019 г.</v>
      </c>
      <c r="G11" s="405">
        <f>+P5-1</f>
        <v>2018</v>
      </c>
      <c r="H11" s="15"/>
      <c r="I11" s="109" t="str">
        <f>+O8</f>
        <v>31.08.2019 г.</v>
      </c>
      <c r="J11" s="406">
        <f>+P5-1</f>
        <v>2018</v>
      </c>
      <c r="K11" s="16"/>
      <c r="L11" s="107" t="str">
        <f>+O8</f>
        <v>31.08.2019 г.</v>
      </c>
      <c r="M11" s="407">
        <f>+P5-1</f>
        <v>2018</v>
      </c>
      <c r="N11" s="16"/>
      <c r="O11" s="362" t="str">
        <f>+O8</f>
        <v>31.08.2019 г.</v>
      </c>
      <c r="P11" s="408">
        <f>+P5-1</f>
        <v>2018</v>
      </c>
      <c r="Q11" s="360"/>
      <c r="R11" s="595" t="s">
        <v>186</v>
      </c>
      <c r="S11" s="596"/>
      <c r="T11" s="59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98" t="s">
        <v>154</v>
      </c>
      <c r="S15" s="599"/>
      <c r="T15" s="600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554">
        <v>20775421</v>
      </c>
      <c r="G16" s="242">
        <v>29191786</v>
      </c>
      <c r="H16" s="15"/>
      <c r="I16" s="242"/>
      <c r="J16" s="241"/>
      <c r="K16" s="235"/>
      <c r="L16" s="242"/>
      <c r="M16" s="241"/>
      <c r="N16" s="235"/>
      <c r="O16" s="370">
        <f t="shared" si="0"/>
        <v>20775421</v>
      </c>
      <c r="P16" s="393">
        <f t="shared" si="0"/>
        <v>29191786</v>
      </c>
      <c r="Q16" s="31"/>
      <c r="R16" s="606" t="s">
        <v>296</v>
      </c>
      <c r="S16" s="607"/>
      <c r="T16" s="608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2" t="s">
        <v>289</v>
      </c>
      <c r="S17" s="613"/>
      <c r="T17" s="614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841633</v>
      </c>
      <c r="G18" s="238">
        <v>1485700</v>
      </c>
      <c r="H18" s="15"/>
      <c r="I18" s="238">
        <v>277</v>
      </c>
      <c r="J18" s="237"/>
      <c r="K18" s="235"/>
      <c r="L18" s="238"/>
      <c r="M18" s="237"/>
      <c r="N18" s="235"/>
      <c r="O18" s="374">
        <f t="shared" si="0"/>
        <v>841910</v>
      </c>
      <c r="P18" s="387">
        <f t="shared" si="0"/>
        <v>1485700</v>
      </c>
      <c r="Q18" s="31"/>
      <c r="R18" s="598" t="s">
        <v>155</v>
      </c>
      <c r="S18" s="599"/>
      <c r="T18" s="600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3643645</v>
      </c>
      <c r="G19" s="240">
        <v>5783413</v>
      </c>
      <c r="H19" s="15"/>
      <c r="I19" s="240"/>
      <c r="J19" s="239"/>
      <c r="K19" s="235"/>
      <c r="L19" s="240"/>
      <c r="M19" s="239"/>
      <c r="N19" s="235"/>
      <c r="O19" s="369">
        <f t="shared" si="0"/>
        <v>3643645</v>
      </c>
      <c r="P19" s="421">
        <f t="shared" si="0"/>
        <v>5783413</v>
      </c>
      <c r="Q19" s="31"/>
      <c r="R19" s="609" t="s">
        <v>156</v>
      </c>
      <c r="S19" s="610"/>
      <c r="T19" s="611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210154</v>
      </c>
      <c r="G20" s="240">
        <v>323814</v>
      </c>
      <c r="H20" s="15"/>
      <c r="I20" s="240"/>
      <c r="J20" s="239"/>
      <c r="K20" s="235"/>
      <c r="L20" s="240"/>
      <c r="M20" s="239"/>
      <c r="N20" s="235"/>
      <c r="O20" s="369">
        <f t="shared" si="0"/>
        <v>210154</v>
      </c>
      <c r="P20" s="421">
        <f t="shared" si="0"/>
        <v>323814</v>
      </c>
      <c r="Q20" s="31"/>
      <c r="R20" s="609" t="s">
        <v>157</v>
      </c>
      <c r="S20" s="610"/>
      <c r="T20" s="611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0</v>
      </c>
      <c r="G21" s="240">
        <v>0</v>
      </c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9" t="s">
        <v>158</v>
      </c>
      <c r="S21" s="610"/>
      <c r="T21" s="611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120</v>
      </c>
      <c r="G22" s="240">
        <v>182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120</v>
      </c>
      <c r="P22" s="421">
        <f t="shared" si="0"/>
        <v>182</v>
      </c>
      <c r="Q22" s="31"/>
      <c r="R22" s="609" t="s">
        <v>159</v>
      </c>
      <c r="S22" s="610"/>
      <c r="T22" s="611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>
        <v>0</v>
      </c>
      <c r="G23" s="240">
        <v>0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9" t="s">
        <v>160</v>
      </c>
      <c r="S23" s="610"/>
      <c r="T23" s="611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83093</v>
      </c>
      <c r="G24" s="242">
        <v>45597</v>
      </c>
      <c r="H24" s="15"/>
      <c r="I24" s="242">
        <v>-7</v>
      </c>
      <c r="J24" s="242">
        <v>-35</v>
      </c>
      <c r="K24" s="235"/>
      <c r="L24" s="242"/>
      <c r="M24" s="241"/>
      <c r="N24" s="235"/>
      <c r="O24" s="370">
        <f t="shared" si="0"/>
        <v>83086</v>
      </c>
      <c r="P24" s="393">
        <f t="shared" si="0"/>
        <v>45562</v>
      </c>
      <c r="Q24" s="31"/>
      <c r="R24" s="615" t="s">
        <v>290</v>
      </c>
      <c r="S24" s="616"/>
      <c r="T24" s="617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25554066</v>
      </c>
      <c r="G25" s="243">
        <f>+ROUND(+SUM(G15,G16,G18,G19,G20,G21,G22,G23,G24),0)</f>
        <v>36830492</v>
      </c>
      <c r="H25" s="15"/>
      <c r="I25" s="244">
        <f>+ROUND(+SUM(I15,I16,I18,I19,I20,I21,I22,I23,I24),0)</f>
        <v>270</v>
      </c>
      <c r="J25" s="243">
        <f>+ROUND(+SUM(J15,J16,J18,J19,J20,J21,J22,J23,J24),0)</f>
        <v>-35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25554336</v>
      </c>
      <c r="P25" s="372">
        <f>+ROUND(+SUM(P15,P16,P18,P19,P20,P21,P22,P23,P24),0)</f>
        <v>36830457</v>
      </c>
      <c r="Q25" s="31"/>
      <c r="R25" s="618" t="s">
        <v>187</v>
      </c>
      <c r="S25" s="619"/>
      <c r="T25" s="62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8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8" t="s">
        <v>161</v>
      </c>
      <c r="S27" s="599"/>
      <c r="T27" s="60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5219</v>
      </c>
      <c r="G28" s="240">
        <v>15507</v>
      </c>
      <c r="H28" s="15"/>
      <c r="I28" s="240"/>
      <c r="J28" s="239"/>
      <c r="K28" s="235"/>
      <c r="L28" s="240"/>
      <c r="M28" s="239"/>
      <c r="N28" s="235"/>
      <c r="O28" s="369">
        <f t="shared" si="1"/>
        <v>5219</v>
      </c>
      <c r="P28" s="421">
        <f t="shared" si="1"/>
        <v>15507</v>
      </c>
      <c r="Q28" s="31"/>
      <c r="R28" s="609" t="s">
        <v>162</v>
      </c>
      <c r="S28" s="610"/>
      <c r="T28" s="61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2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5" t="s">
        <v>163</v>
      </c>
      <c r="S29" s="616"/>
      <c r="T29" s="6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5219</v>
      </c>
      <c r="G30" s="243">
        <f>+ROUND(+SUM(G27:G29),0)</f>
        <v>15507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5219</v>
      </c>
      <c r="P30" s="372">
        <f>+ROUND(+SUM(P27:P29),0)</f>
        <v>15507</v>
      </c>
      <c r="Q30" s="31"/>
      <c r="R30" s="618" t="s">
        <v>188</v>
      </c>
      <c r="S30" s="619"/>
      <c r="T30" s="62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-217094</v>
      </c>
      <c r="G37" s="255">
        <v>-430002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-217094</v>
      </c>
      <c r="P37" s="372">
        <f t="shared" si="2"/>
        <v>-430002</v>
      </c>
      <c r="Q37" s="31"/>
      <c r="R37" s="618" t="s">
        <v>189</v>
      </c>
      <c r="S37" s="619"/>
      <c r="T37" s="62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-986</v>
      </c>
      <c r="G38" s="258">
        <v>-3590</v>
      </c>
      <c r="H38" s="15"/>
      <c r="I38" s="258"/>
      <c r="J38" s="257"/>
      <c r="K38" s="235"/>
      <c r="L38" s="258"/>
      <c r="M38" s="257"/>
      <c r="N38" s="235"/>
      <c r="O38" s="384">
        <f t="shared" si="2"/>
        <v>-986</v>
      </c>
      <c r="P38" s="422">
        <f t="shared" si="2"/>
        <v>-3590</v>
      </c>
      <c r="Q38" s="31"/>
      <c r="R38" s="621" t="s">
        <v>164</v>
      </c>
      <c r="S38" s="622"/>
      <c r="T38" s="6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-29933</v>
      </c>
      <c r="G39" s="260">
        <v>-60113</v>
      </c>
      <c r="H39" s="15"/>
      <c r="I39" s="260"/>
      <c r="J39" s="259"/>
      <c r="K39" s="235"/>
      <c r="L39" s="260"/>
      <c r="M39" s="259"/>
      <c r="N39" s="235"/>
      <c r="O39" s="385">
        <f t="shared" si="2"/>
        <v>-29933</v>
      </c>
      <c r="P39" s="423">
        <f t="shared" si="2"/>
        <v>-60113</v>
      </c>
      <c r="Q39" s="31"/>
      <c r="R39" s="624" t="s">
        <v>165</v>
      </c>
      <c r="S39" s="625"/>
      <c r="T39" s="6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7" t="s">
        <v>166</v>
      </c>
      <c r="S40" s="628"/>
      <c r="T40" s="6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8133</v>
      </c>
      <c r="G42" s="255">
        <v>25738</v>
      </c>
      <c r="H42" s="15"/>
      <c r="I42" s="256"/>
      <c r="J42" s="255"/>
      <c r="K42" s="235"/>
      <c r="L42" s="256"/>
      <c r="M42" s="255"/>
      <c r="N42" s="235"/>
      <c r="O42" s="371">
        <f>+ROUND(+F42+I42+L42,0)</f>
        <v>8133</v>
      </c>
      <c r="P42" s="372">
        <f>+ROUND(+G42+J42+M42,0)</f>
        <v>25738</v>
      </c>
      <c r="Q42" s="31"/>
      <c r="R42" s="618" t="s">
        <v>190</v>
      </c>
      <c r="S42" s="619"/>
      <c r="T42" s="62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8">
        <v>1503</v>
      </c>
      <c r="H44" s="15"/>
      <c r="I44" s="238">
        <v>450703</v>
      </c>
      <c r="J44" s="238">
        <v>559455</v>
      </c>
      <c r="K44" s="235"/>
      <c r="L44" s="238"/>
      <c r="M44" s="237"/>
      <c r="N44" s="235"/>
      <c r="O44" s="374">
        <f aca="true" t="shared" si="3" ref="O44:P47">+ROUND(+F44+I44+L44,0)</f>
        <v>450703</v>
      </c>
      <c r="P44" s="387">
        <f t="shared" si="3"/>
        <v>560958</v>
      </c>
      <c r="Q44" s="31"/>
      <c r="R44" s="598" t="s">
        <v>167</v>
      </c>
      <c r="S44" s="599"/>
      <c r="T44" s="60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>
        <v>-135444</v>
      </c>
      <c r="G45" s="240">
        <v>4273092</v>
      </c>
      <c r="H45" s="15"/>
      <c r="I45" s="240">
        <v>22208</v>
      </c>
      <c r="J45" s="240">
        <v>192234</v>
      </c>
      <c r="K45" s="235"/>
      <c r="L45" s="240"/>
      <c r="M45" s="239"/>
      <c r="N45" s="235"/>
      <c r="O45" s="369">
        <f t="shared" si="3"/>
        <v>-113236</v>
      </c>
      <c r="P45" s="421">
        <f t="shared" si="3"/>
        <v>4465326</v>
      </c>
      <c r="Q45" s="31"/>
      <c r="R45" s="609" t="s">
        <v>168</v>
      </c>
      <c r="S45" s="610"/>
      <c r="T45" s="61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>
        <v>0</v>
      </c>
      <c r="G46" s="240">
        <v>0</v>
      </c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9" t="s">
        <v>169</v>
      </c>
      <c r="S46" s="610"/>
      <c r="T46" s="61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56358</v>
      </c>
      <c r="G47" s="242">
        <v>117266</v>
      </c>
      <c r="H47" s="15"/>
      <c r="I47" s="242"/>
      <c r="J47" s="241"/>
      <c r="K47" s="235"/>
      <c r="L47" s="242"/>
      <c r="M47" s="241"/>
      <c r="N47" s="235"/>
      <c r="O47" s="370">
        <f t="shared" si="3"/>
        <v>56358</v>
      </c>
      <c r="P47" s="393">
        <f t="shared" si="3"/>
        <v>117266</v>
      </c>
      <c r="Q47" s="31"/>
      <c r="R47" s="615" t="s">
        <v>170</v>
      </c>
      <c r="S47" s="616"/>
      <c r="T47" s="6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-79086</v>
      </c>
      <c r="G48" s="243">
        <f>+ROUND(+SUM(G44:G47),0)</f>
        <v>4391861</v>
      </c>
      <c r="H48" s="15"/>
      <c r="I48" s="244">
        <f>+ROUND(+SUM(I44:I47),0)</f>
        <v>472911</v>
      </c>
      <c r="J48" s="243">
        <f>+ROUND(+SUM(J44:J47),0)</f>
        <v>751689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393825</v>
      </c>
      <c r="P48" s="372">
        <f>+ROUND(+SUM(P44:P47),0)</f>
        <v>5143550</v>
      </c>
      <c r="Q48" s="31"/>
      <c r="R48" s="618" t="s">
        <v>191</v>
      </c>
      <c r="S48" s="619"/>
      <c r="T48" s="62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25271238</v>
      </c>
      <c r="G50" s="265">
        <f>+ROUND(G25+G30+G37+G42+G48,0)</f>
        <v>40833596</v>
      </c>
      <c r="H50" s="15"/>
      <c r="I50" s="266">
        <f>+ROUND(I25+I30+I37+I42+I48,0)</f>
        <v>473181</v>
      </c>
      <c r="J50" s="265">
        <f>+ROUND(J25+J30+J37+J42+J48,0)</f>
        <v>751654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25744419</v>
      </c>
      <c r="P50" s="389">
        <f>+ROUND(P25+P30+P37+P42+P48,0)</f>
        <v>41585250</v>
      </c>
      <c r="Q50" s="113"/>
      <c r="R50" s="630" t="s">
        <v>192</v>
      </c>
      <c r="S50" s="631"/>
      <c r="T50" s="63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59273566</v>
      </c>
      <c r="G53" s="268">
        <v>117597260</v>
      </c>
      <c r="H53" s="15"/>
      <c r="I53" s="268">
        <v>1226447</v>
      </c>
      <c r="J53" s="268">
        <f>589120+82726</f>
        <v>671846</v>
      </c>
      <c r="K53" s="235"/>
      <c r="L53" s="268"/>
      <c r="M53" s="267"/>
      <c r="N53" s="235"/>
      <c r="O53" s="375">
        <f aca="true" t="shared" si="4" ref="O53:P57">+ROUND(+F53+I53+L53,0)</f>
        <v>60500013</v>
      </c>
      <c r="P53" s="368">
        <f t="shared" si="4"/>
        <v>118269106</v>
      </c>
      <c r="Q53" s="31"/>
      <c r="R53" s="598" t="s">
        <v>193</v>
      </c>
      <c r="S53" s="599"/>
      <c r="T53" s="60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1075556</v>
      </c>
      <c r="G54" s="242">
        <v>1442052</v>
      </c>
      <c r="H54" s="15"/>
      <c r="I54" s="242">
        <v>172</v>
      </c>
      <c r="J54" s="242">
        <v>581</v>
      </c>
      <c r="K54" s="235"/>
      <c r="L54" s="242"/>
      <c r="M54" s="241"/>
      <c r="N54" s="235"/>
      <c r="O54" s="370">
        <f t="shared" si="4"/>
        <v>1075728</v>
      </c>
      <c r="P54" s="393">
        <f t="shared" si="4"/>
        <v>1442633</v>
      </c>
      <c r="Q54" s="31"/>
      <c r="R54" s="609" t="s">
        <v>171</v>
      </c>
      <c r="S54" s="610"/>
      <c r="T54" s="61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1855112</v>
      </c>
      <c r="G55" s="242">
        <v>4679624</v>
      </c>
      <c r="H55" s="15"/>
      <c r="I55" s="242">
        <v>0</v>
      </c>
      <c r="J55" s="242"/>
      <c r="K55" s="235"/>
      <c r="L55" s="242"/>
      <c r="M55" s="241"/>
      <c r="N55" s="235"/>
      <c r="O55" s="370">
        <f t="shared" si="4"/>
        <v>1855112</v>
      </c>
      <c r="P55" s="393">
        <f t="shared" si="4"/>
        <v>4679624</v>
      </c>
      <c r="Q55" s="31"/>
      <c r="R55" s="609" t="s">
        <v>172</v>
      </c>
      <c r="S55" s="610"/>
      <c r="T55" s="61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137653665</v>
      </c>
      <c r="G56" s="242">
        <v>189761415</v>
      </c>
      <c r="H56" s="15"/>
      <c r="I56" s="242">
        <v>450614</v>
      </c>
      <c r="J56" s="242">
        <f>90633+251110+70829</f>
        <v>412572</v>
      </c>
      <c r="K56" s="235"/>
      <c r="L56" s="242"/>
      <c r="M56" s="241"/>
      <c r="N56" s="235"/>
      <c r="O56" s="370">
        <f t="shared" si="4"/>
        <v>138104279</v>
      </c>
      <c r="P56" s="393">
        <f t="shared" si="4"/>
        <v>190173987</v>
      </c>
      <c r="Q56" s="31"/>
      <c r="R56" s="609" t="s">
        <v>173</v>
      </c>
      <c r="S56" s="610"/>
      <c r="T56" s="61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27714269</v>
      </c>
      <c r="G57" s="242">
        <v>38001590</v>
      </c>
      <c r="H57" s="15"/>
      <c r="I57" s="242">
        <v>67127</v>
      </c>
      <c r="J57" s="242">
        <f>1860+25873+4526</f>
        <v>32259</v>
      </c>
      <c r="K57" s="235"/>
      <c r="L57" s="242"/>
      <c r="M57" s="241"/>
      <c r="N57" s="235"/>
      <c r="O57" s="370">
        <f t="shared" si="4"/>
        <v>27781396</v>
      </c>
      <c r="P57" s="393">
        <f t="shared" si="4"/>
        <v>38033849</v>
      </c>
      <c r="Q57" s="31"/>
      <c r="R57" s="615" t="s">
        <v>174</v>
      </c>
      <c r="S57" s="616"/>
      <c r="T57" s="6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227572168</v>
      </c>
      <c r="G58" s="269">
        <f>+ROUND(+SUM(G53:G57),0)</f>
        <v>351481941</v>
      </c>
      <c r="H58" s="15"/>
      <c r="I58" s="270">
        <f>+ROUND(+SUM(I53:I57),0)</f>
        <v>1744360</v>
      </c>
      <c r="J58" s="269">
        <f>+ROUND(+SUM(J53:J57),0)</f>
        <v>1117258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229316528</v>
      </c>
      <c r="P58" s="391">
        <f>+ROUND(+SUM(P53:P57),0)</f>
        <v>352599199</v>
      </c>
      <c r="Q58" s="31"/>
      <c r="R58" s="618" t="s">
        <v>194</v>
      </c>
      <c r="S58" s="619"/>
      <c r="T58" s="62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8"/>
      <c r="H60" s="15"/>
      <c r="I60" s="268"/>
      <c r="J60" s="268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8" t="s">
        <v>175</v>
      </c>
      <c r="S60" s="599"/>
      <c r="T60" s="60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3360353</v>
      </c>
      <c r="G61" s="242">
        <v>2904171</v>
      </c>
      <c r="H61" s="15"/>
      <c r="I61" s="242">
        <v>11321246</v>
      </c>
      <c r="J61" s="242">
        <f>322740+13727275</f>
        <v>14050015</v>
      </c>
      <c r="K61" s="235"/>
      <c r="L61" s="242"/>
      <c r="M61" s="241"/>
      <c r="N61" s="235"/>
      <c r="O61" s="370">
        <f t="shared" si="5"/>
        <v>14681599</v>
      </c>
      <c r="P61" s="393">
        <f t="shared" si="5"/>
        <v>16954186</v>
      </c>
      <c r="Q61" s="31"/>
      <c r="R61" s="609" t="s">
        <v>176</v>
      </c>
      <c r="S61" s="610"/>
      <c r="T61" s="61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23158</v>
      </c>
      <c r="G62" s="242">
        <v>551372</v>
      </c>
      <c r="H62" s="15"/>
      <c r="I62" s="242">
        <v>462745</v>
      </c>
      <c r="J62" s="242">
        <v>700</v>
      </c>
      <c r="K62" s="235"/>
      <c r="L62" s="242"/>
      <c r="M62" s="241"/>
      <c r="N62" s="235"/>
      <c r="O62" s="370">
        <f t="shared" si="5"/>
        <v>485903</v>
      </c>
      <c r="P62" s="393">
        <f t="shared" si="5"/>
        <v>552072</v>
      </c>
      <c r="Q62" s="31"/>
      <c r="R62" s="609" t="s">
        <v>177</v>
      </c>
      <c r="S62" s="610"/>
      <c r="T62" s="61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2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5" t="s">
        <v>195</v>
      </c>
      <c r="S63" s="616"/>
      <c r="T63" s="6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3383511</v>
      </c>
      <c r="G65" s="269">
        <f>+ROUND(+SUM(G60:G63),0)</f>
        <v>3455543</v>
      </c>
      <c r="H65" s="15"/>
      <c r="I65" s="270">
        <f>+ROUND(+SUM(I60:I63),0)</f>
        <v>11783991</v>
      </c>
      <c r="J65" s="269">
        <f>+ROUND(+SUM(J60:J63),0)</f>
        <v>14050715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15167502</v>
      </c>
      <c r="P65" s="391">
        <f>+ROUND(+SUM(P60:P63),0)</f>
        <v>17506258</v>
      </c>
      <c r="Q65" s="31"/>
      <c r="R65" s="618" t="s">
        <v>197</v>
      </c>
      <c r="S65" s="619"/>
      <c r="T65" s="62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>
        <v>14281</v>
      </c>
      <c r="G67" s="268">
        <v>36676</v>
      </c>
      <c r="H67" s="15"/>
      <c r="I67" s="268"/>
      <c r="J67" s="267"/>
      <c r="K67" s="235"/>
      <c r="L67" s="268"/>
      <c r="M67" s="267"/>
      <c r="N67" s="235"/>
      <c r="O67" s="375">
        <f>+ROUND(+F67+I67+L67,0)</f>
        <v>14281</v>
      </c>
      <c r="P67" s="368">
        <f>+ROUND(+G67+J67+M67,0)</f>
        <v>36676</v>
      </c>
      <c r="Q67" s="31"/>
      <c r="R67" s="598" t="s">
        <v>178</v>
      </c>
      <c r="S67" s="599"/>
      <c r="T67" s="60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>
        <v>177</v>
      </c>
      <c r="G68" s="242">
        <v>3012</v>
      </c>
      <c r="H68" s="15"/>
      <c r="I68" s="242"/>
      <c r="J68" s="241"/>
      <c r="K68" s="235"/>
      <c r="L68" s="242"/>
      <c r="M68" s="241"/>
      <c r="N68" s="235"/>
      <c r="O68" s="370">
        <f>+ROUND(+F68+I68+L68,0)</f>
        <v>177</v>
      </c>
      <c r="P68" s="393">
        <f>+ROUND(+G68+J68+M68,0)</f>
        <v>3012</v>
      </c>
      <c r="Q68" s="31"/>
      <c r="R68" s="609" t="s">
        <v>179</v>
      </c>
      <c r="S68" s="610"/>
      <c r="T68" s="61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14458</v>
      </c>
      <c r="G69" s="269">
        <f>+ROUND(+SUM(G67:G68),0)</f>
        <v>39688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14458</v>
      </c>
      <c r="P69" s="391">
        <f>+ROUND(+SUM(P67:P68),0)</f>
        <v>39688</v>
      </c>
      <c r="Q69" s="31"/>
      <c r="R69" s="618" t="s">
        <v>198</v>
      </c>
      <c r="S69" s="619"/>
      <c r="T69" s="62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13970943</v>
      </c>
      <c r="G71" s="268">
        <v>26385310</v>
      </c>
      <c r="H71" s="15"/>
      <c r="I71" s="268">
        <v>39579</v>
      </c>
      <c r="J71" s="268">
        <v>236460</v>
      </c>
      <c r="K71" s="235"/>
      <c r="L71" s="268"/>
      <c r="M71" s="267"/>
      <c r="N71" s="235"/>
      <c r="O71" s="375">
        <f>+ROUND(+F71+I71+L71,0)</f>
        <v>14010522</v>
      </c>
      <c r="P71" s="368">
        <f>+ROUND(+G71+J71+M71,0)</f>
        <v>26621770</v>
      </c>
      <c r="Q71" s="31"/>
      <c r="R71" s="598" t="s">
        <v>180</v>
      </c>
      <c r="S71" s="599"/>
      <c r="T71" s="60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2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9" t="s">
        <v>181</v>
      </c>
      <c r="S72" s="610"/>
      <c r="T72" s="61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13970943</v>
      </c>
      <c r="G73" s="269">
        <f>+ROUND(+SUM(G71:G72),0)</f>
        <v>26385310</v>
      </c>
      <c r="H73" s="15"/>
      <c r="I73" s="270">
        <f>+ROUND(+SUM(I71:I72),0)</f>
        <v>39579</v>
      </c>
      <c r="J73" s="269">
        <f>+ROUND(+SUM(J71:J72),0)</f>
        <v>236460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14010522</v>
      </c>
      <c r="P73" s="391">
        <f>+ROUND(+SUM(P71:P72),0)</f>
        <v>26621770</v>
      </c>
      <c r="Q73" s="31"/>
      <c r="R73" s="618" t="s">
        <v>199</v>
      </c>
      <c r="S73" s="619"/>
      <c r="T73" s="62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93747869</v>
      </c>
      <c r="G75" s="268">
        <v>116272740</v>
      </c>
      <c r="H75" s="15"/>
      <c r="I75" s="268"/>
      <c r="J75" s="267"/>
      <c r="K75" s="235"/>
      <c r="L75" s="268"/>
      <c r="M75" s="267"/>
      <c r="N75" s="235"/>
      <c r="O75" s="375">
        <f>+ROUND(+F75+I75+L75,0)</f>
        <v>93747869</v>
      </c>
      <c r="P75" s="368">
        <f>+ROUND(+G75+J75+M75,0)</f>
        <v>116272740</v>
      </c>
      <c r="Q75" s="31"/>
      <c r="R75" s="598" t="s">
        <v>182</v>
      </c>
      <c r="S75" s="599"/>
      <c r="T75" s="60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4753605</v>
      </c>
      <c r="G76" s="242">
        <v>38640008</v>
      </c>
      <c r="H76" s="15"/>
      <c r="I76" s="242"/>
      <c r="J76" s="241"/>
      <c r="K76" s="235"/>
      <c r="L76" s="242"/>
      <c r="M76" s="241"/>
      <c r="N76" s="235"/>
      <c r="O76" s="370">
        <f>+ROUND(+F76+I76+L76,0)</f>
        <v>4753605</v>
      </c>
      <c r="P76" s="393">
        <f>+ROUND(+G76+J76+M76,0)</f>
        <v>38640008</v>
      </c>
      <c r="Q76" s="31"/>
      <c r="R76" s="609" t="s">
        <v>200</v>
      </c>
      <c r="S76" s="610"/>
      <c r="T76" s="61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98501474</v>
      </c>
      <c r="G77" s="269">
        <f>+ROUND(+SUM(G75:G76),0)</f>
        <v>154912748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98501474</v>
      </c>
      <c r="P77" s="391">
        <f>+ROUND(+SUM(P75:P76),0)</f>
        <v>154912748</v>
      </c>
      <c r="Q77" s="31"/>
      <c r="R77" s="618" t="s">
        <v>201</v>
      </c>
      <c r="S77" s="619"/>
      <c r="T77" s="62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343442554</v>
      </c>
      <c r="G79" s="280">
        <f>+ROUND(G58+G65+G69+G73+G77,0)</f>
        <v>536275230</v>
      </c>
      <c r="H79" s="15"/>
      <c r="I79" s="277">
        <f>+ROUND(I58+I65+I69+I73+I77,0)</f>
        <v>13567930</v>
      </c>
      <c r="J79" s="280">
        <f>+ROUND(J58+J65+J69+J73+J77,0)</f>
        <v>15404433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357010484</v>
      </c>
      <c r="P79" s="401">
        <f>+ROUND(P58+P65+P69+P73+P77,0)</f>
        <v>551679663</v>
      </c>
      <c r="Q79" s="31"/>
      <c r="R79" s="633" t="s">
        <v>202</v>
      </c>
      <c r="S79" s="634"/>
      <c r="T79" s="63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319331328</v>
      </c>
      <c r="G81" s="238">
        <v>531241827</v>
      </c>
      <c r="H81" s="15"/>
      <c r="I81" s="238">
        <v>17020939</v>
      </c>
      <c r="J81" s="238">
        <f>-28041+876430+15134800</f>
        <v>15983189</v>
      </c>
      <c r="K81" s="235"/>
      <c r="L81" s="238"/>
      <c r="M81" s="237"/>
      <c r="N81" s="235"/>
      <c r="O81" s="374">
        <f>+ROUND(+F81+I81+L81,0)</f>
        <v>336352267</v>
      </c>
      <c r="P81" s="387">
        <f>+ROUND(+G81+J81+M81,0)</f>
        <v>547225016</v>
      </c>
      <c r="Q81" s="31"/>
      <c r="R81" s="598" t="s">
        <v>183</v>
      </c>
      <c r="S81" s="599"/>
      <c r="T81" s="60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9" t="s">
        <v>184</v>
      </c>
      <c r="S82" s="610"/>
      <c r="T82" s="61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319331328</v>
      </c>
      <c r="G83" s="278">
        <f>+ROUND(G81+G82,0)</f>
        <v>531241827</v>
      </c>
      <c r="H83" s="15"/>
      <c r="I83" s="279">
        <f>+ROUND(I81+I82,0)</f>
        <v>17020939</v>
      </c>
      <c r="J83" s="278">
        <f>+ROUND(J81+J82,0)</f>
        <v>15983189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336352267</v>
      </c>
      <c r="P83" s="396">
        <f>+ROUND(P81+P82,0)</f>
        <v>547225016</v>
      </c>
      <c r="Q83" s="31"/>
      <c r="R83" s="636" t="s">
        <v>203</v>
      </c>
      <c r="S83" s="637"/>
      <c r="T83" s="63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5"/>
      <c r="D84" s="586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1160012</v>
      </c>
      <c r="G85" s="299">
        <f>+ROUND(G50,0)-ROUND(G79,0)+ROUND(G83,0)</f>
        <v>35800193</v>
      </c>
      <c r="H85" s="15"/>
      <c r="I85" s="300">
        <f>+ROUND(I50,0)-ROUND(I79,0)+ROUND(I83,0)</f>
        <v>3926190</v>
      </c>
      <c r="J85" s="299">
        <f>+ROUND(J50,0)-ROUND(J79,0)+ROUND(J83,0)</f>
        <v>1330410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5086202</v>
      </c>
      <c r="P85" s="398">
        <f>+ROUND(P50,0)-ROUND(P79,0)+ROUND(P83,0)</f>
        <v>37130603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-1160012</v>
      </c>
      <c r="G86" s="301">
        <f>+ROUND(G103,0)+ROUND(G122,0)+ROUND(G129,0)-ROUND(G134,0)</f>
        <v>-35800193</v>
      </c>
      <c r="H86" s="15"/>
      <c r="I86" s="302">
        <f>+ROUND(I103,0)+ROUND(I122,0)+ROUND(I129,0)-ROUND(I134,0)</f>
        <v>-3926190</v>
      </c>
      <c r="J86" s="301">
        <f>+ROUND(J103,0)+ROUND(J122,0)+ROUND(J129,0)-ROUND(J134,0)</f>
        <v>-1330410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-5086202</v>
      </c>
      <c r="P86" s="400">
        <f>+ROUND(P103,0)+ROUND(P122,0)+ROUND(P129,0)-ROUND(P134,0)</f>
        <v>-37130603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40">
        <v>-24000000</v>
      </c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-24000000</v>
      </c>
      <c r="Q89" s="31"/>
      <c r="R89" s="598" t="s">
        <v>204</v>
      </c>
      <c r="S89" s="599"/>
      <c r="T89" s="60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9" t="s">
        <v>205</v>
      </c>
      <c r="S90" s="610"/>
      <c r="T90" s="61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-24000000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-24000000</v>
      </c>
      <c r="Q91" s="31"/>
      <c r="R91" s="618" t="s">
        <v>206</v>
      </c>
      <c r="S91" s="619"/>
      <c r="T91" s="62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8">
        <v>-2223113</v>
      </c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-2223113</v>
      </c>
      <c r="Q93" s="31"/>
      <c r="R93" s="598" t="s">
        <v>207</v>
      </c>
      <c r="S93" s="599"/>
      <c r="T93" s="60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>
        <v>273148</v>
      </c>
      <c r="G94" s="242">
        <v>572407</v>
      </c>
      <c r="H94" s="15"/>
      <c r="I94" s="242"/>
      <c r="J94" s="241"/>
      <c r="K94" s="235"/>
      <c r="L94" s="242"/>
      <c r="M94" s="241"/>
      <c r="N94" s="235"/>
      <c r="O94" s="370">
        <f t="shared" si="6"/>
        <v>273148</v>
      </c>
      <c r="P94" s="393">
        <f t="shared" si="6"/>
        <v>572407</v>
      </c>
      <c r="Q94" s="31"/>
      <c r="R94" s="609" t="s">
        <v>208</v>
      </c>
      <c r="S94" s="610"/>
      <c r="T94" s="61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9" t="s">
        <v>209</v>
      </c>
      <c r="S95" s="610"/>
      <c r="T95" s="61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5" t="s">
        <v>210</v>
      </c>
      <c r="S96" s="616"/>
      <c r="T96" s="6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273148</v>
      </c>
      <c r="G97" s="243">
        <f>+ROUND(+SUM(G93:G96),0)</f>
        <v>-1650706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273148</v>
      </c>
      <c r="P97" s="372">
        <f>+ROUND(+SUM(P93:P96),0)</f>
        <v>-1650706</v>
      </c>
      <c r="Q97" s="31"/>
      <c r="R97" s="618" t="s">
        <v>211</v>
      </c>
      <c r="S97" s="619"/>
      <c r="T97" s="62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8" t="s">
        <v>212</v>
      </c>
      <c r="S99" s="599"/>
      <c r="T99" s="60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7791</v>
      </c>
      <c r="G100" s="242">
        <v>29291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7791</v>
      </c>
      <c r="P100" s="393">
        <f>+ROUND(+G100+J100+M100,0)</f>
        <v>29291</v>
      </c>
      <c r="Q100" s="31"/>
      <c r="R100" s="609" t="s">
        <v>213</v>
      </c>
      <c r="S100" s="610"/>
      <c r="T100" s="61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7791</v>
      </c>
      <c r="G101" s="243">
        <f>+ROUND(+SUM(G99:G100),0)</f>
        <v>29291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7791</v>
      </c>
      <c r="P101" s="372">
        <f>+ROUND(+SUM(P99:P100),0)</f>
        <v>29291</v>
      </c>
      <c r="Q101" s="31"/>
      <c r="R101" s="618" t="s">
        <v>214</v>
      </c>
      <c r="S101" s="619"/>
      <c r="T101" s="62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280939</v>
      </c>
      <c r="G103" s="265">
        <f>+ROUND(G91+G97+G101,0)</f>
        <v>-25621415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280939</v>
      </c>
      <c r="P103" s="389">
        <f>+ROUND(P91+P97+P101,0)</f>
        <v>-25621415</v>
      </c>
      <c r="Q103" s="113"/>
      <c r="R103" s="630" t="s">
        <v>215</v>
      </c>
      <c r="S103" s="631"/>
      <c r="T103" s="632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8" t="s">
        <v>216</v>
      </c>
      <c r="S106" s="599"/>
      <c r="T106" s="60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>
        <v>-5754613</v>
      </c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-5754613</v>
      </c>
      <c r="P107" s="393">
        <f>+ROUND(+G107+J107+M107,0)</f>
        <v>0</v>
      </c>
      <c r="Q107" s="31"/>
      <c r="R107" s="609" t="s">
        <v>217</v>
      </c>
      <c r="S107" s="610"/>
      <c r="T107" s="61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-5754613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-5754613</v>
      </c>
      <c r="P108" s="391">
        <f>+ROUND(+SUM(P106:P107),0)</f>
        <v>0</v>
      </c>
      <c r="Q108" s="31"/>
      <c r="R108" s="618" t="s">
        <v>218</v>
      </c>
      <c r="S108" s="619"/>
      <c r="T108" s="62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5" t="s">
        <v>219</v>
      </c>
      <c r="S110" s="646"/>
      <c r="T110" s="64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2">
        <v>-11137960</v>
      </c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-11137960</v>
      </c>
      <c r="Q111" s="31"/>
      <c r="R111" s="648" t="s">
        <v>220</v>
      </c>
      <c r="S111" s="649"/>
      <c r="T111" s="65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-11137960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-11137960</v>
      </c>
      <c r="Q112" s="31"/>
      <c r="R112" s="618" t="s">
        <v>221</v>
      </c>
      <c r="S112" s="619"/>
      <c r="T112" s="62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8" t="s">
        <v>222</v>
      </c>
      <c r="S114" s="599"/>
      <c r="T114" s="60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9" t="s">
        <v>223</v>
      </c>
      <c r="S115" s="610"/>
      <c r="T115" s="61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8" t="s">
        <v>224</v>
      </c>
      <c r="S116" s="619"/>
      <c r="T116" s="62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-44760</v>
      </c>
      <c r="G118" s="553">
        <v>1665</v>
      </c>
      <c r="H118" s="15"/>
      <c r="I118" s="268"/>
      <c r="J118" s="267"/>
      <c r="K118" s="235"/>
      <c r="L118" s="268">
        <v>-564893</v>
      </c>
      <c r="M118" s="268">
        <v>-628462</v>
      </c>
      <c r="N118" s="235"/>
      <c r="O118" s="375">
        <f>+ROUND(+F118+I118+L118,0)</f>
        <v>-609653</v>
      </c>
      <c r="P118" s="368">
        <f>+ROUND(+G118+J118+M118,0)</f>
        <v>-626797</v>
      </c>
      <c r="Q118" s="31"/>
      <c r="R118" s="598" t="s">
        <v>225</v>
      </c>
      <c r="S118" s="599"/>
      <c r="T118" s="60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>
        <v>373</v>
      </c>
      <c r="G119" s="242">
        <v>-178</v>
      </c>
      <c r="H119" s="15"/>
      <c r="I119" s="242"/>
      <c r="J119" s="241"/>
      <c r="K119" s="235"/>
      <c r="L119" s="242"/>
      <c r="M119" s="241"/>
      <c r="N119" s="235"/>
      <c r="O119" s="370">
        <f>+ROUND(+F119+I119+L119,0)</f>
        <v>373</v>
      </c>
      <c r="P119" s="393">
        <f>+ROUND(+G119+J119+M119,0)</f>
        <v>-178</v>
      </c>
      <c r="Q119" s="31"/>
      <c r="R119" s="609" t="s">
        <v>226</v>
      </c>
      <c r="S119" s="610"/>
      <c r="T119" s="61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-44387</v>
      </c>
      <c r="G120" s="269">
        <f>+ROUND(+SUM(G118:G119),0)</f>
        <v>1487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-564893</v>
      </c>
      <c r="M120" s="269">
        <f>+ROUND(+SUM(M118:M119),0)</f>
        <v>-628462</v>
      </c>
      <c r="N120" s="235"/>
      <c r="O120" s="390">
        <f>+ROUND(+SUM(O118:O119),0)</f>
        <v>-609280</v>
      </c>
      <c r="P120" s="391">
        <f>+ROUND(+SUM(P118:P119),0)</f>
        <v>-626975</v>
      </c>
      <c r="Q120" s="31"/>
      <c r="R120" s="618" t="s">
        <v>227</v>
      </c>
      <c r="S120" s="619"/>
      <c r="T120" s="62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-5799000</v>
      </c>
      <c r="G122" s="280">
        <f>+ROUND(G108+G112+G116+G120,0)</f>
        <v>-11136473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-564893</v>
      </c>
      <c r="M122" s="280">
        <f>+ROUND(M108+M112+M116+M120,0)</f>
        <v>-628462</v>
      </c>
      <c r="N122" s="235"/>
      <c r="O122" s="394">
        <f>+ROUND(O108+O112+O116+O120,0)</f>
        <v>-6363893</v>
      </c>
      <c r="P122" s="401">
        <f>+ROUND(P108+P112+P116+P120,0)</f>
        <v>-11764935</v>
      </c>
      <c r="Q122" s="31"/>
      <c r="R122" s="633" t="s">
        <v>228</v>
      </c>
      <c r="S122" s="634"/>
      <c r="T122" s="63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8" t="s">
        <v>229</v>
      </c>
      <c r="S124" s="599"/>
      <c r="T124" s="60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3940814</v>
      </c>
      <c r="G125" s="242">
        <v>1300771</v>
      </c>
      <c r="H125" s="15"/>
      <c r="I125" s="242">
        <v>-3926750</v>
      </c>
      <c r="J125" s="242">
        <f>120534-452789-965498</f>
        <v>-1297753</v>
      </c>
      <c r="K125" s="235"/>
      <c r="L125" s="242"/>
      <c r="M125" s="241"/>
      <c r="N125" s="235"/>
      <c r="O125" s="370">
        <f t="shared" si="7"/>
        <v>14064</v>
      </c>
      <c r="P125" s="393">
        <f t="shared" si="7"/>
        <v>3018</v>
      </c>
      <c r="Q125" s="31"/>
      <c r="R125" s="609" t="s">
        <v>230</v>
      </c>
      <c r="S125" s="610"/>
      <c r="T125" s="61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-518262</v>
      </c>
      <c r="G126" s="242">
        <v>32657</v>
      </c>
      <c r="H126" s="15"/>
      <c r="I126" s="242">
        <v>560</v>
      </c>
      <c r="J126" s="242">
        <f>14829-47486</f>
        <v>-32657</v>
      </c>
      <c r="K126" s="235"/>
      <c r="L126" s="242"/>
      <c r="M126" s="241"/>
      <c r="N126" s="235"/>
      <c r="O126" s="370">
        <f t="shared" si="7"/>
        <v>-517702</v>
      </c>
      <c r="P126" s="393">
        <f t="shared" si="7"/>
        <v>0</v>
      </c>
      <c r="Q126" s="31"/>
      <c r="R126" s="639" t="s">
        <v>298</v>
      </c>
      <c r="S126" s="640"/>
      <c r="T126" s="64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51" t="s">
        <v>292</v>
      </c>
      <c r="S127" s="652"/>
      <c r="T127" s="65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2" t="s">
        <v>231</v>
      </c>
      <c r="S128" s="643"/>
      <c r="T128" s="64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3422552</v>
      </c>
      <c r="G129" s="278">
        <f>+ROUND(+SUM(G124,G125,G126,G128),0)</f>
        <v>1333428</v>
      </c>
      <c r="H129" s="15"/>
      <c r="I129" s="279">
        <f>+ROUND(+SUM(I124,I125,I126,I128),0)</f>
        <v>-3926190</v>
      </c>
      <c r="J129" s="278">
        <f>+ROUND(+SUM(J124,J125,J126,J128),0)</f>
        <v>-1330410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-503638</v>
      </c>
      <c r="P129" s="396">
        <f>+ROUND(+SUM(P124,P125,P126,P128),0)</f>
        <v>3018</v>
      </c>
      <c r="Q129" s="31"/>
      <c r="R129" s="636" t="s">
        <v>232</v>
      </c>
      <c r="S129" s="637"/>
      <c r="T129" s="63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3251305</v>
      </c>
      <c r="G131" s="238">
        <v>2861044</v>
      </c>
      <c r="H131" s="15"/>
      <c r="I131" s="238"/>
      <c r="J131" s="237"/>
      <c r="K131" s="235"/>
      <c r="L131" s="238">
        <v>1735677</v>
      </c>
      <c r="M131" s="238">
        <v>2364139</v>
      </c>
      <c r="N131" s="235"/>
      <c r="O131" s="374">
        <f aca="true" t="shared" si="8" ref="O131:P133">+ROUND(+F131+I131+L131,0)</f>
        <v>4986982</v>
      </c>
      <c r="P131" s="387">
        <f t="shared" si="8"/>
        <v>5225183</v>
      </c>
      <c r="Q131" s="31"/>
      <c r="R131" s="598" t="s">
        <v>233</v>
      </c>
      <c r="S131" s="599"/>
      <c r="T131" s="60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11009</v>
      </c>
      <c r="G132" s="242">
        <v>14528</v>
      </c>
      <c r="H132" s="15"/>
      <c r="I132" s="242"/>
      <c r="J132" s="241"/>
      <c r="K132" s="235"/>
      <c r="L132" s="242">
        <v>0</v>
      </c>
      <c r="M132" s="242">
        <v>0</v>
      </c>
      <c r="N132" s="235"/>
      <c r="O132" s="370">
        <f t="shared" si="8"/>
        <v>11009</v>
      </c>
      <c r="P132" s="393">
        <f t="shared" si="8"/>
        <v>14528</v>
      </c>
      <c r="Q132" s="31"/>
      <c r="R132" s="609" t="s">
        <v>234</v>
      </c>
      <c r="S132" s="610"/>
      <c r="T132" s="61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2326817</v>
      </c>
      <c r="G133" s="242">
        <v>3251305</v>
      </c>
      <c r="H133" s="15"/>
      <c r="I133" s="242"/>
      <c r="J133" s="241"/>
      <c r="K133" s="235"/>
      <c r="L133" s="242">
        <v>1170784</v>
      </c>
      <c r="M133" s="242">
        <v>1735677</v>
      </c>
      <c r="N133" s="235"/>
      <c r="O133" s="370">
        <f t="shared" si="8"/>
        <v>3497601</v>
      </c>
      <c r="P133" s="393">
        <f t="shared" si="8"/>
        <v>4986982</v>
      </c>
      <c r="Q133" s="31"/>
      <c r="R133" s="659" t="s">
        <v>235</v>
      </c>
      <c r="S133" s="660"/>
      <c r="T133" s="66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-935497</v>
      </c>
      <c r="G134" s="283">
        <f>+ROUND(+G133-G131-G132,0)</f>
        <v>375733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-564893</v>
      </c>
      <c r="M134" s="283">
        <f>+ROUND(+M133-M131-M132,0)</f>
        <v>-628462</v>
      </c>
      <c r="N134" s="235"/>
      <c r="O134" s="403">
        <f>+ROUND(+O133-O131-O132,0)</f>
        <v>-1500390</v>
      </c>
      <c r="P134" s="404">
        <f>+ROUND(+P133-P131-P132,0)</f>
        <v>-252729</v>
      </c>
      <c r="Q134" s="31"/>
      <c r="R134" s="656" t="s">
        <v>236</v>
      </c>
      <c r="S134" s="657"/>
      <c r="T134" s="65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7"/>
      <c r="D135" s="587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12092019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7" t="s">
        <v>354</v>
      </c>
      <c r="G143" s="578"/>
      <c r="H143" s="578"/>
      <c r="I143" s="579"/>
      <c r="J143" s="354"/>
      <c r="K143" s="16"/>
      <c r="L143" s="354" t="s">
        <v>240</v>
      </c>
      <c r="M143" s="577" t="s">
        <v>355</v>
      </c>
      <c r="N143" s="578"/>
      <c r="O143" s="578"/>
      <c r="P143" s="579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9" dxfId="106" operator="notEqual" stopIfTrue="1">
      <formula>0</formula>
    </cfRule>
  </conditionalFormatting>
  <conditionalFormatting sqref="B135:B141 C136:E141">
    <cfRule type="cellIs" priority="154" dxfId="107" operator="notEqual" stopIfTrue="1">
      <formula>0</formula>
    </cfRule>
    <cfRule type="cellIs" priority="70" dxfId="108" operator="equal">
      <formula>0</formula>
    </cfRule>
  </conditionalFormatting>
  <conditionalFormatting sqref="F145:G146">
    <cfRule type="cellIs" priority="82" dxfId="109" operator="equal" stopIfTrue="1">
      <formula>"НЕРАВНЕНИЕ!"</formula>
    </cfRule>
    <cfRule type="cellIs" priority="83" dxfId="8" operator="equal" stopIfTrue="1">
      <formula>"НЕРАВНЕНИЕ!"</formula>
    </cfRule>
  </conditionalFormatting>
  <conditionalFormatting sqref="O145:O146 I145:J146">
    <cfRule type="cellIs" priority="81" dxfId="109" operator="equal" stopIfTrue="1">
      <formula>"НЕРАВНЕНИЕ!"</formula>
    </cfRule>
  </conditionalFormatting>
  <conditionalFormatting sqref="L145:L146 N145:N146">
    <cfRule type="cellIs" priority="80" dxfId="109" operator="equal" stopIfTrue="1">
      <formula>"НЕРАВНЕНИЕ!"</formula>
    </cfRule>
  </conditionalFormatting>
  <conditionalFormatting sqref="F148:G149">
    <cfRule type="cellIs" priority="78" dxfId="109" operator="equal" stopIfTrue="1">
      <formula>"НЕРАВНЕНИЕ !"</formula>
    </cfRule>
    <cfRule type="cellIs" priority="79" dxfId="8" operator="equal" stopIfTrue="1">
      <formula>"НЕРАВНЕНИЕ !"</formula>
    </cfRule>
  </conditionalFormatting>
  <conditionalFormatting sqref="O148:O149 I148:J149">
    <cfRule type="cellIs" priority="77" dxfId="109" operator="equal" stopIfTrue="1">
      <formula>"НЕРАВНЕНИЕ !"</formula>
    </cfRule>
  </conditionalFormatting>
  <conditionalFormatting sqref="L148:L149 N148:N149">
    <cfRule type="cellIs" priority="76" dxfId="109" operator="equal" stopIfTrue="1">
      <formula>"НЕРАВНЕНИЕ !"</formula>
    </cfRule>
  </conditionalFormatting>
  <conditionalFormatting sqref="L148:L149 O148:O149 F148:G149 I148:J149">
    <cfRule type="cellIs" priority="75" dxfId="109" operator="notEqual">
      <formula>0</formula>
    </cfRule>
  </conditionalFormatting>
  <conditionalFormatting sqref="L84">
    <cfRule type="cellIs" priority="56" dxfId="106" operator="notEqual" stopIfTrue="1">
      <formula>0</formula>
    </cfRule>
  </conditionalFormatting>
  <conditionalFormatting sqref="O84">
    <cfRule type="cellIs" priority="55" dxfId="106" operator="notEqual" stopIfTrue="1">
      <formula>0</formula>
    </cfRule>
  </conditionalFormatting>
  <conditionalFormatting sqref="L135:L142">
    <cfRule type="cellIs" priority="65" dxfId="106" operator="notEqual" stopIfTrue="1">
      <formula>0</formula>
    </cfRule>
  </conditionalFormatting>
  <conditionalFormatting sqref="O135:O141">
    <cfRule type="cellIs" priority="63" dxfId="106" operator="notEqual" stopIfTrue="1">
      <formula>0</formula>
    </cfRule>
  </conditionalFormatting>
  <conditionalFormatting sqref="M135:M141 M84">
    <cfRule type="cellIs" priority="46" dxfId="106" operator="notEqual" stopIfTrue="1">
      <formula>0</formula>
    </cfRule>
  </conditionalFormatting>
  <conditionalFormatting sqref="M145:M146">
    <cfRule type="cellIs" priority="45" dxfId="109" operator="equal" stopIfTrue="1">
      <formula>"НЕРАВНЕНИЕ!"</formula>
    </cfRule>
  </conditionalFormatting>
  <conditionalFormatting sqref="M148:M149">
    <cfRule type="cellIs" priority="44" dxfId="109" operator="equal" stopIfTrue="1">
      <formula>"НЕРАВНЕНИЕ !"</formula>
    </cfRule>
  </conditionalFormatting>
  <conditionalFormatting sqref="M148:M149">
    <cfRule type="cellIs" priority="43" dxfId="109" operator="notEqual">
      <formula>0</formula>
    </cfRule>
  </conditionalFormatting>
  <conditionalFormatting sqref="P135:P141 P84">
    <cfRule type="cellIs" priority="42" dxfId="106" operator="notEqual" stopIfTrue="1">
      <formula>0</formula>
    </cfRule>
  </conditionalFormatting>
  <conditionalFormatting sqref="P145:P146">
    <cfRule type="cellIs" priority="41" dxfId="109" operator="equal" stopIfTrue="1">
      <formula>"НЕРАВНЕНИЕ!"</formula>
    </cfRule>
  </conditionalFormatting>
  <conditionalFormatting sqref="P148:P149">
    <cfRule type="cellIs" priority="40" dxfId="109" operator="equal" stopIfTrue="1">
      <formula>"НЕРАВНЕНИЕ !"</formula>
    </cfRule>
  </conditionalFormatting>
  <conditionalFormatting sqref="P148:P149">
    <cfRule type="cellIs" priority="39" dxfId="109" operator="notEqual">
      <formula>0</formula>
    </cfRule>
  </conditionalFormatting>
  <conditionalFormatting sqref="B3">
    <cfRule type="cellIs" priority="35" dxfId="110" operator="equal" stopIfTrue="1">
      <formula>0</formula>
    </cfRule>
  </conditionalFormatting>
  <conditionalFormatting sqref="G2:H2">
    <cfRule type="cellIs" priority="33" dxfId="109" operator="equal">
      <formula>"отчетено НЕРАВНЕНИЕ в таблица 'Status'!"</formula>
    </cfRule>
    <cfRule type="cellIs" priority="34" dxfId="111" operator="equal">
      <formula>0</formula>
    </cfRule>
  </conditionalFormatting>
  <conditionalFormatting sqref="J2">
    <cfRule type="cellIs" priority="32" dxfId="109" operator="notEqual">
      <formula>0</formula>
    </cfRule>
  </conditionalFormatting>
  <conditionalFormatting sqref="M2:N2">
    <cfRule type="cellIs" priority="31" dxfId="109" operator="notEqual">
      <formula>0</formula>
    </cfRule>
  </conditionalFormatting>
  <conditionalFormatting sqref="H1">
    <cfRule type="cellIs" priority="29" dxfId="109" operator="equal">
      <formula>"отчетено НЕРАВНЕНИЕ в таблица 'Status'!"</formula>
    </cfRule>
    <cfRule type="cellIs" priority="30" dxfId="111" operator="equal">
      <formula>0</formula>
    </cfRule>
  </conditionalFormatting>
  <conditionalFormatting sqref="K1">
    <cfRule type="cellIs" priority="28" dxfId="109" operator="notEqual">
      <formula>0</formula>
    </cfRule>
  </conditionalFormatting>
  <conditionalFormatting sqref="M1">
    <cfRule type="cellIs" priority="27" dxfId="110" operator="equal" stopIfTrue="1">
      <formula>0</formula>
    </cfRule>
  </conditionalFormatting>
  <conditionalFormatting sqref="N1">
    <cfRule type="cellIs" priority="26" dxfId="109" operator="notEqual">
      <formula>0</formula>
    </cfRule>
  </conditionalFormatting>
  <conditionalFormatting sqref="P1">
    <cfRule type="cellIs" priority="25" dxfId="110" operator="equal" stopIfTrue="1">
      <formula>0</formula>
    </cfRule>
  </conditionalFormatting>
  <conditionalFormatting sqref="S1:T1">
    <cfRule type="cellIs" priority="9" dxfId="112" operator="between" stopIfTrue="1">
      <formula>1000000000000</formula>
      <formula>9999999999999990</formula>
    </cfRule>
    <cfRule type="cellIs" priority="10" dxfId="113" operator="between" stopIfTrue="1">
      <formula>10000000000</formula>
      <formula>999999999999</formula>
    </cfRule>
    <cfRule type="cellIs" priority="11" dxfId="114" operator="between" stopIfTrue="1">
      <formula>1000000</formula>
      <formula>99999999</formula>
    </cfRule>
    <cfRule type="cellIs" priority="12" dxfId="115" operator="between" stopIfTrue="1">
      <formula>100</formula>
      <formula>9999</formula>
    </cfRule>
  </conditionalFormatting>
  <conditionalFormatting sqref="B84">
    <cfRule type="cellIs" priority="8" dxfId="107" operator="notEqual" stopIfTrue="1">
      <formula>0</formula>
    </cfRule>
    <cfRule type="cellIs" priority="7" dxfId="116" operator="equal">
      <formula>0</formula>
    </cfRule>
  </conditionalFormatting>
  <conditionalFormatting sqref="B127 R127">
    <cfRule type="expression" priority="6" dxfId="117" stopIfTrue="1">
      <formula>$M$1=9900</formula>
    </cfRule>
  </conditionalFormatting>
  <conditionalFormatting sqref="F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B1">
    <cfRule type="cellIs" priority="1" dxfId="110" operator="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" sqref="P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2" t="str">
        <f>+'Cash-Flow-2019-Leva'!B1:F1</f>
        <v>МИНИСТЕРСТВО НА ЗДРАВЕОПАЗВАНЕТО</v>
      </c>
      <c r="C1" s="663"/>
      <c r="D1" s="663"/>
      <c r="E1" s="663"/>
      <c r="F1" s="664"/>
      <c r="G1" s="447" t="s">
        <v>252</v>
      </c>
      <c r="H1" s="128"/>
      <c r="I1" s="665">
        <f>+'Cash-Flow-2019-Leva'!I1:J1</f>
        <v>695317</v>
      </c>
      <c r="J1" s="666"/>
      <c r="K1" s="448"/>
      <c r="L1" s="449" t="s">
        <v>253</v>
      </c>
      <c r="M1" s="450">
        <f>+'Cash-Flow-2019-Leva'!M1</f>
        <v>1600</v>
      </c>
      <c r="N1" s="448"/>
      <c r="O1" s="449" t="s">
        <v>245</v>
      </c>
      <c r="P1" s="462" t="str">
        <f>+'Cash-Flow-2019-Leva'!P1</f>
        <v>02/9301-403</v>
      </c>
      <c r="Q1" s="453"/>
      <c r="R1" s="457" t="s">
        <v>239</v>
      </c>
      <c r="S1" s="667">
        <f>+'Cash-Flow-2019-Leva'!$S$1</f>
        <v>0</v>
      </c>
      <c r="T1" s="668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9" t="s">
        <v>257</v>
      </c>
      <c r="C2" s="670"/>
      <c r="D2" s="670"/>
      <c r="E2" s="670"/>
      <c r="F2" s="671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2" t="str">
        <f>+'Cash-Flow-2019-Leva'!B3:F3</f>
        <v>[Седалище и адрес]</v>
      </c>
      <c r="C3" s="673"/>
      <c r="D3" s="673"/>
      <c r="E3" s="673"/>
      <c r="F3" s="674"/>
      <c r="G3" s="454" t="s">
        <v>244</v>
      </c>
      <c r="H3" s="675">
        <f>+'Cash-Flow-2019-Leva'!H3</f>
        <v>0</v>
      </c>
      <c r="I3" s="676"/>
      <c r="J3" s="676"/>
      <c r="K3" s="677"/>
      <c r="L3" s="51" t="s">
        <v>254</v>
      </c>
      <c r="M3" s="678">
        <f>+'Cash-Flow-2019-Leva'!M3:P3</f>
        <v>0</v>
      </c>
      <c r="N3" s="679"/>
      <c r="O3" s="679"/>
      <c r="P3" s="680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2" t="s">
        <v>251</v>
      </c>
      <c r="E5" s="682"/>
      <c r="F5" s="682"/>
      <c r="G5" s="682"/>
      <c r="H5" s="682"/>
      <c r="I5" s="682"/>
      <c r="J5" s="682"/>
      <c r="K5" s="682"/>
      <c r="L5" s="682"/>
      <c r="M5" s="39"/>
      <c r="N5" s="39"/>
      <c r="O5" s="53" t="s">
        <v>17</v>
      </c>
      <c r="P5" s="460">
        <f>+'Cash-Flow-2019-Leva'!P5</f>
        <v>2019</v>
      </c>
      <c r="Q5" s="39"/>
      <c r="R5" s="681" t="s">
        <v>185</v>
      </c>
      <c r="S5" s="681"/>
      <c r="T5" s="681"/>
      <c r="U5" s="6"/>
    </row>
    <row r="6" spans="1:28" s="3" customFormat="1" ht="17.25" customHeight="1">
      <c r="A6" s="6"/>
      <c r="B6" s="52" t="s">
        <v>249</v>
      </c>
      <c r="C6" s="52"/>
      <c r="D6" s="682" t="s">
        <v>250</v>
      </c>
      <c r="E6" s="682"/>
      <c r="F6" s="682"/>
      <c r="G6" s="682"/>
      <c r="H6" s="682"/>
      <c r="I6" s="682"/>
      <c r="J6" s="682"/>
      <c r="K6" s="682"/>
      <c r="L6" s="682"/>
      <c r="M6" s="42"/>
      <c r="N6" s="5"/>
      <c r="O6" s="6"/>
      <c r="P6" s="6"/>
      <c r="Q6" s="1"/>
      <c r="R6" s="683">
        <f>+P4</f>
        <v>0</v>
      </c>
      <c r="S6" s="683"/>
      <c r="T6" s="68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4" t="str">
        <f>+B1</f>
        <v>МИНИСТЕРСТВО НА ЗДРАВЕОПАЗВАНЕТО</v>
      </c>
      <c r="E8" s="684"/>
      <c r="F8" s="684"/>
      <c r="G8" s="684"/>
      <c r="H8" s="684"/>
      <c r="I8" s="684"/>
      <c r="J8" s="684"/>
      <c r="K8" s="684"/>
      <c r="L8" s="684"/>
      <c r="M8" s="455" t="s">
        <v>255</v>
      </c>
      <c r="N8" s="5"/>
      <c r="O8" s="458" t="str">
        <f>+'Cash-Flow-2019-Leva'!O8</f>
        <v>31.08.2019 г.</v>
      </c>
      <c r="P8" s="456" t="s">
        <v>8</v>
      </c>
      <c r="Q8" s="1"/>
      <c r="R8" s="685">
        <f>+P5</f>
        <v>2019</v>
      </c>
      <c r="S8" s="686"/>
      <c r="T8" s="68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31.08.2019 г.</v>
      </c>
      <c r="G11" s="405">
        <f>+'Cash-Flow-2019-Leva'!G11</f>
        <v>2018</v>
      </c>
      <c r="H11" s="5"/>
      <c r="I11" s="109" t="str">
        <f>+O8</f>
        <v>31.08.2019 г.</v>
      </c>
      <c r="J11" s="406">
        <f>+'Cash-Flow-2019-Leva'!J11</f>
        <v>2018</v>
      </c>
      <c r="K11" s="5"/>
      <c r="L11" s="107" t="str">
        <f>+O8</f>
        <v>31.08.2019 г.</v>
      </c>
      <c r="M11" s="407">
        <f>+'Cash-Flow-2019-Leva'!M11</f>
        <v>2018</v>
      </c>
      <c r="N11" s="475"/>
      <c r="O11" s="362" t="str">
        <f>+O8</f>
        <v>31.08.2019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20775.421</v>
      </c>
      <c r="G16" s="275">
        <f>+'Cash-Flow-2019-Leva'!G16/1000</f>
        <v>29191.786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20775.421</v>
      </c>
      <c r="P16" s="393">
        <f t="shared" si="1"/>
        <v>29191.786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841.633</v>
      </c>
      <c r="G18" s="263">
        <f>+'Cash-Flow-2019-Leva'!G18/1000</f>
        <v>1485.7</v>
      </c>
      <c r="H18" s="285"/>
      <c r="I18" s="264">
        <f>+'Cash-Flow-2019-Leva'!I18/1000</f>
        <v>0.277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841.9100000000001</v>
      </c>
      <c r="P18" s="387">
        <f t="shared" si="1"/>
        <v>1485.7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3643.645</v>
      </c>
      <c r="G19" s="286">
        <f>+'Cash-Flow-2019-Leva'!G19/1000</f>
        <v>5783.413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3643.645</v>
      </c>
      <c r="P19" s="421">
        <f t="shared" si="1"/>
        <v>5783.413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210.154</v>
      </c>
      <c r="G20" s="286">
        <f>+'Cash-Flow-2019-Leva'!G20/1000</f>
        <v>323.814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210.154</v>
      </c>
      <c r="P20" s="421">
        <f t="shared" si="1"/>
        <v>323.814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0.12</v>
      </c>
      <c r="G22" s="286">
        <f>+'Cash-Flow-2019-Leva'!G22/1000</f>
        <v>0.182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0.12</v>
      </c>
      <c r="P22" s="421">
        <f t="shared" si="1"/>
        <v>0.182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83.093</v>
      </c>
      <c r="G24" s="275">
        <f>+'Cash-Flow-2019-Leva'!G24/1000</f>
        <v>45.597</v>
      </c>
      <c r="H24" s="285"/>
      <c r="I24" s="276">
        <f>+'Cash-Flow-2019-Leva'!I24/1000</f>
        <v>-0.007</v>
      </c>
      <c r="J24" s="275">
        <f>+'Cash-Flow-2019-Leva'!J24/1000</f>
        <v>-0.035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83.086</v>
      </c>
      <c r="P24" s="393">
        <f t="shared" si="1"/>
        <v>45.562000000000005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25554.066</v>
      </c>
      <c r="G25" s="243">
        <f>+SUM(G15,G16,G18,G19,G20,G21,G22,G23,G24)</f>
        <v>36830.492</v>
      </c>
      <c r="H25" s="285"/>
      <c r="I25" s="244">
        <f>+SUM(I15,I16,I18,I19,I20,I21,I22,I23,I24)</f>
        <v>0.27</v>
      </c>
      <c r="J25" s="243">
        <f>+SUM(J15,J16,J18,J19,J20,J21,J22,J23,J24)</f>
        <v>-0.035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25554.335999999996</v>
      </c>
      <c r="P25" s="372">
        <f>+SUM(P15,P16,P18,P19,P20,P21,P22,P23,P24)</f>
        <v>36830.456999999995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5.219</v>
      </c>
      <c r="G28" s="286">
        <f>+'Cash-Flow-2019-Leva'!G28/1000</f>
        <v>15.507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5.219</v>
      </c>
      <c r="P28" s="421">
        <f t="shared" si="2"/>
        <v>15.507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5.219</v>
      </c>
      <c r="G30" s="243">
        <f>+SUM(G27:G29)</f>
        <v>15.507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5.219</v>
      </c>
      <c r="P30" s="372">
        <f>+SUM(P27:P29)</f>
        <v>15.507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-217.094</v>
      </c>
      <c r="G37" s="243">
        <f>+'Cash-Flow-2019-Leva'!G37/1000</f>
        <v>-430.002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-217.094</v>
      </c>
      <c r="P37" s="372">
        <f t="shared" si="3"/>
        <v>-430.002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-0.986</v>
      </c>
      <c r="G38" s="288">
        <f>+'Cash-Flow-2019-Leva'!G38/1000</f>
        <v>-3.59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-0.986</v>
      </c>
      <c r="P38" s="422">
        <f t="shared" si="3"/>
        <v>-3.59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-29.933</v>
      </c>
      <c r="G39" s="290">
        <f>+'Cash-Flow-2019-Leva'!G39/1000</f>
        <v>-60.113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-29.933</v>
      </c>
      <c r="P39" s="423">
        <f t="shared" si="3"/>
        <v>-60.113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8.133</v>
      </c>
      <c r="G42" s="243">
        <f>+'Cash-Flow-2019-Leva'!G42/1000</f>
        <v>25.738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8.133</v>
      </c>
      <c r="P42" s="372">
        <f>+G42+J42+M42</f>
        <v>25.738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1.503</v>
      </c>
      <c r="H44" s="285"/>
      <c r="I44" s="264">
        <f>+'Cash-Flow-2019-Leva'!I44/1000</f>
        <v>450.703</v>
      </c>
      <c r="J44" s="263">
        <f>+'Cash-Flow-2019-Leva'!J44/1000</f>
        <v>559.455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450.703</v>
      </c>
      <c r="P44" s="387">
        <f t="shared" si="4"/>
        <v>560.9580000000001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-135.444</v>
      </c>
      <c r="G45" s="286">
        <f>+'Cash-Flow-2019-Leva'!G45/1000</f>
        <v>4273.092</v>
      </c>
      <c r="H45" s="285"/>
      <c r="I45" s="287">
        <f>+'Cash-Flow-2019-Leva'!I45/1000</f>
        <v>22.208</v>
      </c>
      <c r="J45" s="286">
        <f>+'Cash-Flow-2019-Leva'!J45/1000</f>
        <v>192.234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-113.23599999999999</v>
      </c>
      <c r="P45" s="421">
        <f t="shared" si="4"/>
        <v>4465.326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56.358</v>
      </c>
      <c r="G47" s="275">
        <f>+'Cash-Flow-2019-Leva'!G47/1000</f>
        <v>117.266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56.358</v>
      </c>
      <c r="P47" s="393">
        <f t="shared" si="4"/>
        <v>117.266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-79.08599999999998</v>
      </c>
      <c r="G48" s="243">
        <f>+SUM(G44:G47)</f>
        <v>4391.860999999999</v>
      </c>
      <c r="H48" s="285"/>
      <c r="I48" s="244">
        <f>+SUM(I44:I47)</f>
        <v>472.91099999999994</v>
      </c>
      <c r="J48" s="243">
        <f>+SUM(J44:J47)</f>
        <v>751.6890000000001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393.825</v>
      </c>
      <c r="P48" s="372">
        <f>+SUM(P44:P47)</f>
        <v>5143.549999999999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25271.238</v>
      </c>
      <c r="G50" s="265">
        <f>+G25+G30+G37+G42+G48</f>
        <v>40833.59599999999</v>
      </c>
      <c r="H50" s="285"/>
      <c r="I50" s="266">
        <f>+I25+I30+I37+I42+I48</f>
        <v>473.1809999999999</v>
      </c>
      <c r="J50" s="265">
        <f>+J25+J30+J37+J42+J48</f>
        <v>751.6540000000001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25744.418999999998</v>
      </c>
      <c r="P50" s="389">
        <f>+P25+P30+P37+P42+P48</f>
        <v>41585.249999999985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59273.566</v>
      </c>
      <c r="G53" s="236">
        <f>+'Cash-Flow-2019-Leva'!G53/1000</f>
        <v>117597.26</v>
      </c>
      <c r="H53" s="285"/>
      <c r="I53" s="246">
        <f>+'Cash-Flow-2019-Leva'!I53/1000</f>
        <v>1226.447</v>
      </c>
      <c r="J53" s="236">
        <f>+'Cash-Flow-2019-Leva'!J53/1000</f>
        <v>671.846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60500.013</v>
      </c>
      <c r="P53" s="368">
        <f t="shared" si="5"/>
        <v>118269.106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1075.556</v>
      </c>
      <c r="G54" s="275">
        <f>+'Cash-Flow-2019-Leva'!G54/1000</f>
        <v>1442.052</v>
      </c>
      <c r="H54" s="285"/>
      <c r="I54" s="276">
        <f>+'Cash-Flow-2019-Leva'!I54/1000</f>
        <v>0.172</v>
      </c>
      <c r="J54" s="275">
        <f>+'Cash-Flow-2019-Leva'!J54/1000</f>
        <v>0.581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1075.728</v>
      </c>
      <c r="P54" s="393">
        <f t="shared" si="5"/>
        <v>1442.6329999999998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1855.112</v>
      </c>
      <c r="G55" s="275">
        <f>+'Cash-Flow-2019-Leva'!G55/1000</f>
        <v>4679.624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1855.112</v>
      </c>
      <c r="P55" s="393">
        <f t="shared" si="5"/>
        <v>4679.624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137653.665</v>
      </c>
      <c r="G56" s="275">
        <f>+'Cash-Flow-2019-Leva'!G56/1000</f>
        <v>189761.415</v>
      </c>
      <c r="H56" s="285"/>
      <c r="I56" s="276">
        <f>+'Cash-Flow-2019-Leva'!I56/1000</f>
        <v>450.614</v>
      </c>
      <c r="J56" s="275">
        <f>+'Cash-Flow-2019-Leva'!J56/1000</f>
        <v>412.572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138104.279</v>
      </c>
      <c r="P56" s="393">
        <f t="shared" si="5"/>
        <v>190173.987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27714.269</v>
      </c>
      <c r="G57" s="275">
        <f>+'Cash-Flow-2019-Leva'!G57/1000</f>
        <v>38001.59</v>
      </c>
      <c r="H57" s="285"/>
      <c r="I57" s="276">
        <f>+'Cash-Flow-2019-Leva'!I57/1000</f>
        <v>67.127</v>
      </c>
      <c r="J57" s="275">
        <f>+'Cash-Flow-2019-Leva'!J57/1000</f>
        <v>32.259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27781.396</v>
      </c>
      <c r="P57" s="393">
        <f t="shared" si="5"/>
        <v>38033.848999999995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227572.168</v>
      </c>
      <c r="G58" s="269">
        <f>+SUM(G53:G57)</f>
        <v>351481.941</v>
      </c>
      <c r="H58" s="285"/>
      <c r="I58" s="270">
        <f>+SUM(I53:I57)</f>
        <v>1744.36</v>
      </c>
      <c r="J58" s="269">
        <f>+SUM(J53:J57)</f>
        <v>1117.258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229316.52800000002</v>
      </c>
      <c r="P58" s="391">
        <f>+SUM(P53:P57)</f>
        <v>352599.19899999996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3360.353</v>
      </c>
      <c r="G61" s="275">
        <f>+'Cash-Flow-2019-Leva'!G61/1000</f>
        <v>2904.171</v>
      </c>
      <c r="H61" s="285"/>
      <c r="I61" s="276">
        <f>+'Cash-Flow-2019-Leva'!I61/1000</f>
        <v>11321.246</v>
      </c>
      <c r="J61" s="275">
        <f>+'Cash-Flow-2019-Leva'!J61/1000</f>
        <v>14050.015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14681.598999999998</v>
      </c>
      <c r="P61" s="393">
        <f t="shared" si="6"/>
        <v>16954.185999999998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23.158</v>
      </c>
      <c r="G62" s="275">
        <f>+'Cash-Flow-2019-Leva'!G62/1000</f>
        <v>551.372</v>
      </c>
      <c r="H62" s="285"/>
      <c r="I62" s="276">
        <f>+'Cash-Flow-2019-Leva'!I62/1000</f>
        <v>462.745</v>
      </c>
      <c r="J62" s="275">
        <f>+'Cash-Flow-2019-Leva'!J62/1000</f>
        <v>0.7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485.903</v>
      </c>
      <c r="P62" s="393">
        <f t="shared" si="6"/>
        <v>552.072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3383.511</v>
      </c>
      <c r="G65" s="269">
        <f>+SUM(G60:G63)</f>
        <v>3455.5429999999997</v>
      </c>
      <c r="H65" s="285"/>
      <c r="I65" s="270">
        <f>+SUM(I60:I63)</f>
        <v>11783.991</v>
      </c>
      <c r="J65" s="269">
        <f>+SUM(J60:J63)</f>
        <v>14050.715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15167.501999999999</v>
      </c>
      <c r="P65" s="391">
        <f>+SUM(P60:P63)</f>
        <v>17506.257999999998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14.281</v>
      </c>
      <c r="G67" s="236">
        <f>+'Cash-Flow-2019-Leva'!G67/1000</f>
        <v>36.676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14.281</v>
      </c>
      <c r="P67" s="368">
        <f>+G67+J67+M67</f>
        <v>36.676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0.177</v>
      </c>
      <c r="G68" s="275">
        <f>+'Cash-Flow-2019-Leva'!G68/1000</f>
        <v>3.012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0.177</v>
      </c>
      <c r="P68" s="393">
        <f>+G68+J68+M68</f>
        <v>3.012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14.458</v>
      </c>
      <c r="G69" s="269">
        <f>+SUM(G67:G68)</f>
        <v>39.688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14.458</v>
      </c>
      <c r="P69" s="391">
        <f>+SUM(P67:P68)</f>
        <v>39.688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13970.943</v>
      </c>
      <c r="G71" s="236">
        <f>+'Cash-Flow-2019-Leva'!G71/1000</f>
        <v>26385.31</v>
      </c>
      <c r="H71" s="285"/>
      <c r="I71" s="246">
        <f>+'Cash-Flow-2019-Leva'!I71/1000</f>
        <v>39.579</v>
      </c>
      <c r="J71" s="236">
        <f>+'Cash-Flow-2019-Leva'!J71/1000</f>
        <v>236.46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14010.521999999999</v>
      </c>
      <c r="P71" s="368">
        <f>+G71+J71+M71</f>
        <v>26621.77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13970.943</v>
      </c>
      <c r="G73" s="269">
        <f>+SUM(G71:G72)</f>
        <v>26385.31</v>
      </c>
      <c r="H73" s="285"/>
      <c r="I73" s="270">
        <f>+SUM(I71:I72)</f>
        <v>39.579</v>
      </c>
      <c r="J73" s="269">
        <f>+SUM(J71:J72)</f>
        <v>236.46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14010.521999999999</v>
      </c>
      <c r="P73" s="391">
        <f>+SUM(P71:P72)</f>
        <v>26621.77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93747.869</v>
      </c>
      <c r="G75" s="236">
        <f>+'Cash-Flow-2019-Leva'!G75/1000</f>
        <v>116272.74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93747.869</v>
      </c>
      <c r="P75" s="368">
        <f>+G75+J75+M75</f>
        <v>116272.74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4753.605</v>
      </c>
      <c r="G76" s="275">
        <f>+'Cash-Flow-2019-Leva'!G76/1000</f>
        <v>38640.008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4753.605</v>
      </c>
      <c r="P76" s="393">
        <f>+G76+J76+M76</f>
        <v>38640.008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98501.474</v>
      </c>
      <c r="G77" s="269">
        <f>+SUM(G75:G76)</f>
        <v>154912.74800000002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98501.474</v>
      </c>
      <c r="P77" s="391">
        <f>+SUM(P75:P76)</f>
        <v>154912.74800000002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343442.554</v>
      </c>
      <c r="G79" s="280">
        <f>+G58+G65+G69+G73+G77</f>
        <v>536275.23</v>
      </c>
      <c r="H79" s="285"/>
      <c r="I79" s="277">
        <f>+I58+I65+I69+I73+I77</f>
        <v>13567.93</v>
      </c>
      <c r="J79" s="280">
        <f>+J58+J65+J69+J73+J77</f>
        <v>15404.432999999999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357010.48400000005</v>
      </c>
      <c r="P79" s="401">
        <f>+P58+P65+P69+P73+P77</f>
        <v>551679.663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319331.328</v>
      </c>
      <c r="G81" s="263">
        <f>+'Cash-Flow-2019-Leva'!G81/1000</f>
        <v>531241.827</v>
      </c>
      <c r="H81" s="285"/>
      <c r="I81" s="264">
        <f>+'Cash-Flow-2019-Leva'!I81/1000</f>
        <v>17020.939</v>
      </c>
      <c r="J81" s="263">
        <f>+'Cash-Flow-2019-Leva'!J81/1000</f>
        <v>15983.189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336352.267</v>
      </c>
      <c r="P81" s="387">
        <f>+G81+J81+M81</f>
        <v>547225.0160000001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319331.328</v>
      </c>
      <c r="G83" s="278">
        <f>+G81+G82</f>
        <v>531241.827</v>
      </c>
      <c r="H83" s="285"/>
      <c r="I83" s="279">
        <f>+I81+I82</f>
        <v>17020.939</v>
      </c>
      <c r="J83" s="278">
        <f>+J81+J82</f>
        <v>15983.189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336352.267</v>
      </c>
      <c r="P83" s="396">
        <f>+P81+P82</f>
        <v>547225.0160000001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9"/>
      <c r="D84" s="689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1160.011999999988</v>
      </c>
      <c r="G85" s="299">
        <f>+G50-G79+G83</f>
        <v>35800.19300000009</v>
      </c>
      <c r="H85" s="285"/>
      <c r="I85" s="300">
        <f>+I50-I79+I83</f>
        <v>3926.1899999999987</v>
      </c>
      <c r="J85" s="299">
        <f>+J50-J79+J83</f>
        <v>1330.4100000000017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5086.201999999932</v>
      </c>
      <c r="P85" s="398">
        <f>+P50-P79+P83</f>
        <v>37130.60300000012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-1160.0120000000002</v>
      </c>
      <c r="G86" s="301">
        <f>+G103+G122+G129-G134</f>
        <v>-35800.193</v>
      </c>
      <c r="H86" s="285"/>
      <c r="I86" s="302">
        <f>+I103+I122+I129-I134</f>
        <v>-3926.19</v>
      </c>
      <c r="J86" s="301">
        <f>+J103+J122+J129-J134</f>
        <v>-1330.4099999999999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-5086.201999999999</v>
      </c>
      <c r="P86" s="400">
        <f>+P103+P122+P129-P134</f>
        <v>-37130.602999999996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-24000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-24000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-24000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-24000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-2223.113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-2223.113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273.148</v>
      </c>
      <c r="G94" s="275">
        <f>+'Cash-Flow-2019-Leva'!G94/1000</f>
        <v>572.407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273.148</v>
      </c>
      <c r="P94" s="393">
        <f t="shared" si="7"/>
        <v>572.407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273.148</v>
      </c>
      <c r="G97" s="243">
        <f>+SUM(G93:G96)</f>
        <v>-1650.7059999999997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273.148</v>
      </c>
      <c r="P97" s="372">
        <f>+SUM(P93:P96)</f>
        <v>-1650.7059999999997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7.791</v>
      </c>
      <c r="G100" s="275">
        <f>+'Cash-Flow-2019-Leva'!G100/1000</f>
        <v>29.291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7.791</v>
      </c>
      <c r="P100" s="393">
        <f>+G100+J100+M100</f>
        <v>29.291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7.791</v>
      </c>
      <c r="G101" s="243">
        <f>+SUM(G99:G100)</f>
        <v>29.291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7.791</v>
      </c>
      <c r="P101" s="372">
        <f>+SUM(P99:P100)</f>
        <v>29.291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280.939</v>
      </c>
      <c r="G103" s="265">
        <f>+G91+G97+G101</f>
        <v>-25621.414999999997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280.939</v>
      </c>
      <c r="P103" s="389">
        <f>+P91+P97+P101</f>
        <v>-25621.414999999997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-5754.613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-5754.613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-5754.613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-5754.613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-11137.96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-11137.96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-11137.96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-11137.96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-44.76</v>
      </c>
      <c r="G118" s="236">
        <f>+'Cash-Flow-2019-Leva'!G118/1000</f>
        <v>1.665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-564.893</v>
      </c>
      <c r="M118" s="236">
        <f>+'Cash-Flow-2019-Leva'!M118/1000</f>
        <v>-628.462</v>
      </c>
      <c r="N118" s="476"/>
      <c r="O118" s="375">
        <f>+F118+I118+L118</f>
        <v>-609.653</v>
      </c>
      <c r="P118" s="368">
        <f>+G118+J118+M118</f>
        <v>-626.797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0.373</v>
      </c>
      <c r="G119" s="275">
        <f>+'Cash-Flow-2019-Leva'!G119/1000</f>
        <v>-0.178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0.373</v>
      </c>
      <c r="P119" s="393">
        <f>+G119+J119+M119</f>
        <v>-0.178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-44.387</v>
      </c>
      <c r="G120" s="269">
        <f>+SUM(G118:G119)</f>
        <v>1.487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-564.893</v>
      </c>
      <c r="M120" s="269">
        <f>+SUM(M118:M119)</f>
        <v>-628.462</v>
      </c>
      <c r="N120" s="476"/>
      <c r="O120" s="390">
        <f>+SUM(O118:O119)</f>
        <v>-609.28</v>
      </c>
      <c r="P120" s="391">
        <f>+SUM(P118:P119)</f>
        <v>-626.975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-5799</v>
      </c>
      <c r="G122" s="280">
        <f>+G108+G112+G116+G120</f>
        <v>-11136.473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-564.893</v>
      </c>
      <c r="M122" s="280">
        <f>+M108+M112+M116+M120</f>
        <v>-628.462</v>
      </c>
      <c r="N122" s="476"/>
      <c r="O122" s="394">
        <f>+O108+O112+O116+O120</f>
        <v>-6363.893</v>
      </c>
      <c r="P122" s="401">
        <f>+P108+P112+P116+P120</f>
        <v>-11764.935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3940.814</v>
      </c>
      <c r="G125" s="275">
        <f>+'Cash-Flow-2019-Leva'!G125/1000</f>
        <v>1300.771</v>
      </c>
      <c r="H125" s="285"/>
      <c r="I125" s="276">
        <f>+'Cash-Flow-2019-Leva'!I125/1000</f>
        <v>-3926.75</v>
      </c>
      <c r="J125" s="275">
        <f>+'Cash-Flow-2019-Leva'!J125/1000</f>
        <v>-1297.753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14.06399999999985</v>
      </c>
      <c r="P125" s="393">
        <f t="shared" si="8"/>
        <v>3.018000000000029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-518.262</v>
      </c>
      <c r="G126" s="275">
        <f>+'Cash-Flow-2019-Leva'!G126/1000</f>
        <v>32.657</v>
      </c>
      <c r="H126" s="285"/>
      <c r="I126" s="276">
        <f>+'Cash-Flow-2019-Leva'!I126/1000</f>
        <v>0.56</v>
      </c>
      <c r="J126" s="275">
        <f>+'Cash-Flow-2019-Leva'!J126/1000</f>
        <v>-32.657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-517.702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3422.5519999999997</v>
      </c>
      <c r="G129" s="278">
        <f>+SUM(G124,G125,G126,G128)</f>
        <v>1333.4279999999999</v>
      </c>
      <c r="H129" s="285"/>
      <c r="I129" s="279">
        <f>+SUM(I124,I125,I126,I128)</f>
        <v>-3926.19</v>
      </c>
      <c r="J129" s="278">
        <f>+SUM(J124,J125,J126,J128)</f>
        <v>-1330.4099999999999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-503.63800000000015</v>
      </c>
      <c r="P129" s="396">
        <f>+SUM(P124,P125,P126,P128)</f>
        <v>3.018000000000029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3251.305</v>
      </c>
      <c r="G131" s="263">
        <f>+'Cash-Flow-2019-Leva'!G131/1000</f>
        <v>2861.044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1735.677</v>
      </c>
      <c r="M131" s="263">
        <f>+'Cash-Flow-2019-Leva'!M131/1000</f>
        <v>2364.139</v>
      </c>
      <c r="N131" s="476"/>
      <c r="O131" s="374">
        <f aca="true" t="shared" si="9" ref="O131:P133">+F131+I131+L131</f>
        <v>4986.982</v>
      </c>
      <c r="P131" s="387">
        <f t="shared" si="9"/>
        <v>5225.183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11.009</v>
      </c>
      <c r="G132" s="275">
        <f>+'Cash-Flow-2019-Leva'!G132/1000</f>
        <v>14.528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11.009</v>
      </c>
      <c r="P132" s="393">
        <f t="shared" si="9"/>
        <v>14.528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2326.817</v>
      </c>
      <c r="G133" s="275">
        <f>+'Cash-Flow-2019-Leva'!G133/1000</f>
        <v>3251.305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1170.784</v>
      </c>
      <c r="M133" s="275">
        <f>+'Cash-Flow-2019-Leva'!M133/1000</f>
        <v>1735.677</v>
      </c>
      <c r="N133" s="476"/>
      <c r="O133" s="370">
        <f t="shared" si="9"/>
        <v>3497.601</v>
      </c>
      <c r="P133" s="393">
        <f t="shared" si="9"/>
        <v>4986.982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-935.4969999999998</v>
      </c>
      <c r="G134" s="283">
        <f>+G133-G131-G132</f>
        <v>375.73299999999995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-564.8929999999998</v>
      </c>
      <c r="M134" s="283">
        <f>+M133-M131-M132</f>
        <v>-628.4620000000002</v>
      </c>
      <c r="N134" s="476"/>
      <c r="O134" s="403">
        <f>+O133-O131-O132</f>
        <v>-1500.3899999999999</v>
      </c>
      <c r="P134" s="404">
        <f>+P133-P131-P132</f>
        <v>-252.729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8"/>
      <c r="D135" s="688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12092019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Venera Peicheva</cp:lastModifiedBy>
  <cp:lastPrinted>2018-09-27T09:28:48Z</cp:lastPrinted>
  <dcterms:created xsi:type="dcterms:W3CDTF">2015-12-01T07:17:04Z</dcterms:created>
  <dcterms:modified xsi:type="dcterms:W3CDTF">2019-09-12T07:23:04Z</dcterms:modified>
  <cp:category/>
  <cp:version/>
  <cp:contentType/>
  <cp:contentStatus/>
</cp:coreProperties>
</file>