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<sst xmlns="http://schemas.openxmlformats.org/spreadsheetml/2006/main" count="547" uniqueCount="376">
  <si>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</si>
  <si>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</si>
  <si>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</si>
  <si>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</si>
  <si>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</si>
  <si>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</si>
  <si>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</si>
  <si>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</si>
  <si>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</si>
  <si>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</si>
  <si>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</si>
  <si>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</si>
  <si>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</si>
  <si>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</si>
  <si>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</si>
  <si>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</si>
  <si>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</si>
  <si>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</si>
  <si>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</si>
  <si>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</si>
  <si>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</si>
  <si>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</si>
  <si>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</si>
  <si>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</si>
  <si>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</si>
  <si>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</si>
  <si>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</si>
  <si>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</si>
  <si>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</si>
  <si>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</si>
  <si>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</si>
  <si>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</si>
  <si>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</si>
  <si>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</si>
  <si>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</si>
  <si>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</si>
  <si>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</si>
  <si>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</si>
  <si>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</si>
  <si>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</si>
  <si>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</si>
  <si>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</si>
  <si>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</si>
  <si>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</si>
  <si>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</si>
  <si>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</si>
  <si>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</si>
  <si>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</si>
  <si>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</si>
  <si>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</si>
  <si>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</si>
  <si>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</si>
  <si>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</si>
  <si>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</si>
  <si>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</si>
  <si>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</si>
  <si>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</si>
  <si>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</si>
  <si>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</si>
  <si>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</si>
  <si>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</si>
  <si>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</si>
  <si>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</si>
  <si>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</si>
  <si>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</si>
  <si>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</si>
  <si>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</si>
  <si>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</si>
  <si>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</si>
  <si>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</si>
  <si>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</si>
  <si>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</si>
  <si>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</si>
  <si>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</si>
  <si>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</si>
  <si>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</si>
  <si>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</si>
  <si>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</si>
  <si>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</si>
  <si>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</si>
  <si>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</si>
  <si>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</si>
  <si>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</si>
  <si>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</si>
  <si>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</si>
  <si>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</si>
  <si>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</si>
  <si>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</si>
  <si>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</si>
  <si>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</si>
  <si>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</si>
  <si>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</si>
  <si>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</si>
  <si>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</si>
  <si>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</si>
  <si>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</si>
  <si>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</si>
  <si>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</si>
  <si>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</si>
  <si>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</si>
  <si>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</si>
  <si>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</si>
  <si>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</si>
  <si>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</si>
  <si>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</si>
  <si>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</si>
  <si>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</si>
  <si>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</si>
  <si>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</si>
  <si>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</si>
  <si>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</si>
  <si>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</si>
  <si>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</si>
  <si>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</si>
  <si>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</si>
  <si>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</si>
  <si>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</si>
  <si>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</si>
  <si>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</si>
  <si>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</si>
  <si>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</si>
  <si>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</si>
  <si>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</si>
  <si>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</si>
  <si>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</si>
  <si>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</si>
  <si>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</si>
  <si>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</si>
  <si>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</si>
  <si>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</si>
  <si>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</si>
  <si>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</si>
  <si>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</si>
  <si>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</si>
  <si>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</si>
  <si>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</si>
  <si>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</si>
  <si>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</si>
  <si>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</si>
  <si>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</si>
  <si>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</si>
  <si>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</si>
  <si>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</si>
  <si>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</si>
  <si>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</si>
  <si>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</si>
  <si>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</si>
  <si>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</si>
  <si>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</si>
  <si>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</si>
  <si>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</si>
  <si>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</si>
  <si>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</si>
  <si>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</si>
  <si>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</si>
  <si>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</si>
  <si>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</si>
  <si>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</si>
  <si>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</si>
  <si>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</si>
  <si>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</si>
  <si>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</si>
  <si>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</si>
  <si>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</si>
  <si>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</si>
  <si>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</si>
  <si>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</si>
  <si>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</si>
  <si>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</si>
  <si>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</si>
  <si>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</si>
  <si>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</si>
  <si>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</si>
  <si>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</si>
  <si>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</si>
  <si>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</si>
  <si>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</si>
  <si>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</si>
  <si>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</si>
  <si>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</si>
  <si>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</si>
  <si>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</si>
  <si>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</si>
  <si>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</si>
  <si>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</si>
  <si>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</si>
  <si>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</si>
  <si>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</si>
  <si>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</si>
  <si>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</si>
  <si>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</si>
  <si>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</si>
  <si>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</si>
  <si>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</si>
  <si>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</si>
  <si>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</si>
  <si>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</si>
  <si>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</si>
  <si>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</si>
  <si>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</si>
  <si>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</si>
  <si>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</si>
  <si>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</si>
  <si>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</si>
  <si>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</si>
  <si>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</si>
  <si>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</si>
  <si>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</si>
  <si>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</si>
  <si>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</si>
  <si>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</si>
  <si>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</si>
  <si>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</si>
  <si>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</si>
  <si>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</si>
  <si>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</si>
  <si>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</si>
  <si>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</si>
  <si>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</si>
  <si>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</si>
  <si>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</si>
  <si>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</si>
  <si>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</si>
  <si>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</si>
  <si>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</si>
  <si>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</si>
  <si>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</si>
  <si>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</si>
  <si>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</si>
  <si>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</si>
  <si>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</si>
  <si>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</si>
  <si>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</si>
  <si>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</si>
  <si>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</si>
  <si>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</si>
  <si>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</si>
  <si>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</si>
  <si>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</si>
  <si>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</si>
  <si>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</si>
  <si>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</si>
  <si>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</si>
  <si>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</si>
  <si>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</si>
  <si>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</si>
  <si>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</si>
  <si>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</si>
  <si>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</si>
  <si>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</si>
  <si>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</si>
  <si>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</si>
  <si>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</si>
  <si>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</si>
  <si>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</si>
  <si>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</si>
  <si>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</si>
  <si>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</si>
  <si>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</si>
  <si>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</si>
  <si>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</si>
  <si>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</si>
  <si>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</si>
  <si>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</si>
  <si>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</si>
  <si>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</si>
  <si>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</si>
  <si>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</si>
  <si>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</si>
  <si>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</si>
  <si>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</si>
  <si>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</si>
  <si>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</si>
  <si>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</si>
  <si>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</si>
  <si>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</si>
  <si>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</si>
  <si>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</si>
  <si>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</si>
  <si>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</si>
  <si>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</si>
  <si>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</si>
  <si>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</si>
  <si>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</si>
  <si>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</si>
  <si>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</si>
  <si>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</si>
  <si>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</si>
  <si>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</si>
  <si>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</si>
  <si>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</si>
  <si>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</si>
  <si>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</si>
  <si>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</si>
  <si>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</si>
  <si>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</si>
  <si>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</si>
  <si>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</si>
  <si>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</si>
  <si>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</si>
  <si>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</si>
  <si>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</si>
  <si>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</si>
  <si>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</si>
  <si>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</si>
  <si>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</si>
  <si>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</si>
  <si>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</si>
  <si>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</si>
  <si>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</si>
  <si>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</si>
  <si>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</si>
  <si>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</si>
  <si>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</si>
  <si>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</si>
  <si>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</si>
  <si>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</si>
  <si>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</si>
  <si>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</si>
  <si>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</si>
  <si>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</si>
  <si>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</si>
  <si>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</si>
  <si>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</si>
  <si>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</si>
  <si>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</si>
  <si>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</si>
  <si>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</si>
  <si>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</si>
  <si>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</si>
  <si>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</si>
  <si>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</si>
  <si>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</si>
  <si>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</si>
  <si>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</si>
  <si>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</si>
  <si>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</si>
  <si>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</si>
  <si>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</si>
  <si>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</si>
  <si>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</si>
  <si>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</si>
  <si>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</si>
  <si>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</si>
  <si>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</si>
  <si>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</si>
  <si>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</si>
  <si>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</si>
  <si>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</si>
  <si>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</si>
  <si>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</si>
  <si>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</si>
  <si>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</si>
  <si>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</si>
  <si>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</si>
  <si>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</si>
  <si>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</si>
  <si>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</si>
  <si>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</si>
  <si>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</si>
  <si>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</si>
  <si>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</si>
  <si>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</si>
  <si>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</si>
  <si>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</si>
  <si>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</si>
  <si>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</si>
  <si>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</si>
  <si>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</si>
  <si>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</si>
  <si>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</si>
  <si>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</si>
  <si>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</si>
  <si>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Кирил Ананиев</t>
  </si>
  <si>
    <t>Мария Беломорова</t>
  </si>
  <si>
    <t>МИНИСТЕРСТВО НА ЗДРАВЕОПАЗВАНЕТО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</si>
</sst>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3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9" fillId="49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0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0" fillId="35" borderId="0" xfId="63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3" fillId="35" borderId="0" xfId="63" applyFont="1" applyFill="1" applyBorder="1" applyProtection="1">
      <alignment/>
      <protection/>
    </xf>
    <xf numFmtId="0" fontId="171" fillId="35" borderId="0" xfId="63" applyFont="1" applyFill="1" applyBorder="1" applyProtection="1">
      <alignment/>
      <protection/>
    </xf>
    <xf numFmtId="0" fontId="171" fillId="35" borderId="0" xfId="63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32" borderId="49" xfId="0" applyFont="1" applyFill="1" applyBorder="1" applyAlignment="1" applyProtection="1">
      <alignment horizontal="center"/>
      <protection locked="0"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172" fontId="175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9" xfId="0" applyNumberFormat="1" applyFont="1" applyFill="1" applyBorder="1" applyAlignment="1" applyProtection="1" quotePrefix="1">
      <alignment/>
      <protection/>
    </xf>
    <xf numFmtId="174" fontId="177" fillId="32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3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154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4" fillId="32" borderId="72" xfId="57" applyFont="1" applyFill="1" applyBorder="1" quotePrefix="1">
      <alignment/>
      <protection/>
    </xf>
    <xf numFmtId="0" fontId="154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8" fillId="33" borderId="0" xfId="57" applyNumberFormat="1" applyFont="1" applyFill="1" applyBorder="1" applyAlignment="1">
      <alignment horizontal="center"/>
      <protection/>
    </xf>
    <xf numFmtId="178" fontId="28" fillId="38" borderId="0" xfId="57" applyNumberFormat="1" applyFont="1" applyFill="1" applyBorder="1" applyAlignment="1">
      <alignment horizontal="center"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76" fontId="28" fillId="32" borderId="0" xfId="57" applyNumberFormat="1" applyFont="1" applyFill="1" applyBorder="1" applyAlignment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4" fillId="36" borderId="47" xfId="53" applyFont="1" applyFill="1" applyBorder="1" applyAlignment="1" applyProtection="1">
      <alignment horizontal="center" vertical="center"/>
      <protection locked="0"/>
    </xf>
    <xf numFmtId="0" fontId="184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5" fillId="33" borderId="47" xfId="53" applyNumberFormat="1" applyFont="1" applyFill="1" applyBorder="1" applyAlignment="1" applyProtection="1">
      <alignment horizontal="center" vertical="center"/>
      <protection locked="0"/>
    </xf>
    <xf numFmtId="38" fontId="185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 quotePrefix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6" fillId="32" borderId="49" xfId="57" applyFont="1" applyFill="1" applyBorder="1" applyAlignment="1" applyProtection="1" quotePrefix="1">
      <alignment horizontal="center"/>
      <protection/>
    </xf>
    <xf numFmtId="0" fontId="187" fillId="38" borderId="30" xfId="63" applyFont="1" applyFill="1" applyBorder="1" applyAlignment="1" applyProtection="1">
      <alignment horizontal="center" vertical="center" wrapText="1"/>
      <protection locked="0"/>
    </xf>
    <xf numFmtId="0" fontId="187" fillId="38" borderId="19" xfId="63" applyFont="1" applyFill="1" applyBorder="1" applyAlignment="1" applyProtection="1">
      <alignment horizontal="center" vertical="center" wrapText="1"/>
      <protection locked="0"/>
    </xf>
    <xf numFmtId="0" fontId="187" fillId="38" borderId="20" xfId="63" applyFont="1" applyFill="1" applyBorder="1" applyAlignment="1" applyProtection="1">
      <alignment horizontal="center" vertical="center" wrapText="1"/>
      <protection locked="0"/>
    </xf>
    <xf numFmtId="0" fontId="188" fillId="33" borderId="65" xfId="61" applyFont="1" applyFill="1" applyBorder="1" applyAlignment="1" applyProtection="1">
      <alignment horizontal="center"/>
      <protection/>
    </xf>
    <xf numFmtId="0" fontId="188" fillId="33" borderId="0" xfId="61" applyFont="1" applyFill="1" applyBorder="1" applyAlignment="1" applyProtection="1">
      <alignment horizontal="center"/>
      <protection/>
    </xf>
    <xf numFmtId="0" fontId="188" fillId="33" borderId="34" xfId="61" applyFont="1" applyFill="1" applyBorder="1" applyAlignment="1" applyProtection="1">
      <alignment horizontal="center"/>
      <protection/>
    </xf>
    <xf numFmtId="0" fontId="169" fillId="49" borderId="119" xfId="61" applyFont="1" applyFill="1" applyBorder="1" applyAlignment="1" applyProtection="1">
      <alignment horizontal="center"/>
      <protection/>
    </xf>
    <xf numFmtId="0" fontId="189" fillId="32" borderId="0" xfId="60" applyFont="1" applyFill="1" applyBorder="1" applyAlignment="1" applyProtection="1">
      <alignment horizontal="center"/>
      <protection/>
    </xf>
    <xf numFmtId="185" fontId="160" fillId="33" borderId="32" xfId="60" applyNumberFormat="1" applyFont="1" applyFill="1" applyBorder="1" applyAlignment="1" applyProtection="1">
      <alignment horizontal="center"/>
      <protection/>
    </xf>
    <xf numFmtId="185" fontId="160" fillId="33" borderId="47" xfId="60" applyNumberFormat="1" applyFont="1" applyFill="1" applyBorder="1" applyAlignment="1" applyProtection="1">
      <alignment horizontal="center"/>
      <protection/>
    </xf>
    <xf numFmtId="185" fontId="160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90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3" fillId="47" borderId="69" xfId="64" applyNumberFormat="1" applyFont="1" applyFill="1" applyBorder="1" applyAlignment="1" applyProtection="1">
      <alignment horizontal="center"/>
      <protection/>
    </xf>
    <xf numFmtId="38" fontId="163" fillId="47" borderId="19" xfId="64" applyNumberFormat="1" applyFont="1" applyFill="1" applyBorder="1" applyAlignment="1" applyProtection="1">
      <alignment horizontal="center"/>
      <protection/>
    </xf>
    <xf numFmtId="38" fontId="163" fillId="47" borderId="62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83" fillId="44" borderId="46" xfId="64" applyNumberFormat="1" applyFont="1" applyFill="1" applyBorder="1" applyAlignment="1" applyProtection="1">
      <alignment horizontal="center"/>
      <protection/>
    </xf>
    <xf numFmtId="38" fontId="183" fillId="44" borderId="47" xfId="64" applyNumberFormat="1" applyFont="1" applyFill="1" applyBorder="1" applyAlignment="1" applyProtection="1">
      <alignment horizontal="center"/>
      <protection/>
    </xf>
    <xf numFmtId="38" fontId="183" fillId="44" borderId="48" xfId="64" applyNumberFormat="1" applyFont="1" applyFill="1" applyBorder="1" applyAlignment="1" applyProtection="1">
      <alignment horizontal="center"/>
      <protection/>
    </xf>
    <xf numFmtId="186" fontId="191" fillId="46" borderId="32" xfId="57" applyNumberFormat="1" applyFont="1" applyFill="1" applyBorder="1" applyAlignment="1" applyProtection="1">
      <alignment horizontal="center" vertical="center"/>
      <protection locked="0"/>
    </xf>
    <xf numFmtId="186" fontId="191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91" fillId="46" borderId="32" xfId="57" applyNumberFormat="1" applyFont="1" applyFill="1" applyBorder="1" applyAlignment="1" applyProtection="1">
      <alignment horizontal="center" vertical="center"/>
      <protection/>
    </xf>
    <xf numFmtId="186" fontId="191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2" fillId="36" borderId="32" xfId="53" applyFont="1" applyFill="1" applyBorder="1" applyAlignment="1" applyProtection="1">
      <alignment horizontal="center" vertical="center"/>
      <protection/>
    </xf>
    <xf numFmtId="0" fontId="192" fillId="36" borderId="47" xfId="53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0" fillId="33" borderId="0" xfId="60" applyNumberFormat="1" applyFont="1" applyFill="1" applyBorder="1" applyAlignment="1" applyProtection="1">
      <alignment horizontal="center"/>
      <protection/>
    </xf>
    <xf numFmtId="0" fontId="186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8" fillId="33" borderId="119" xfId="61" applyFont="1" applyFill="1" applyBorder="1" applyAlignment="1" applyProtection="1">
      <alignment horizontal="center"/>
      <protection/>
    </xf>
    <xf numFmtId="0" fontId="18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6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F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375</v>
      </c>
      <c r="C1" s="589"/>
      <c r="D1" s="589"/>
      <c r="E1" s="589"/>
      <c r="F1" s="590"/>
      <c r="G1" s="450" t="s">
        <v>253</v>
      </c>
      <c r="H1" s="443"/>
      <c r="I1" s="580"/>
      <c r="J1" s="581"/>
      <c r="K1" s="444"/>
      <c r="L1" s="452" t="s">
        <v>254</v>
      </c>
      <c r="M1" s="448">
        <v>1600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МИНИСТЕРСТВО НА ЗДРАВЕОПАЗВАНЕТО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300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30.11.2018 г.</v>
      </c>
      <c r="G11" s="413">
        <f>+P5-1</f>
        <v>2017</v>
      </c>
      <c r="H11" s="15"/>
      <c r="I11" s="118" t="str">
        <f>+O8</f>
        <v>30.11.2018 г.</v>
      </c>
      <c r="J11" s="414">
        <f>+P5-1</f>
        <v>2017</v>
      </c>
      <c r="K11" s="16"/>
      <c r="L11" s="116" t="str">
        <f>+O8</f>
        <v>30.11.2018 г.</v>
      </c>
      <c r="M11" s="415">
        <f>+P5-1</f>
        <v>2017</v>
      </c>
      <c r="N11" s="16"/>
      <c r="O11" s="370" t="str">
        <f>+O8</f>
        <v>30.11.2018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27120610</v>
      </c>
      <c r="G16" s="249">
        <v>28913336</v>
      </c>
      <c r="H16" s="15"/>
      <c r="I16" s="250"/>
      <c r="J16" s="249"/>
      <c r="K16" s="243"/>
      <c r="L16" s="250"/>
      <c r="M16" s="249"/>
      <c r="N16" s="243"/>
      <c r="O16" s="378">
        <f t="shared" si="0"/>
        <v>27120610</v>
      </c>
      <c r="P16" s="401">
        <f t="shared" si="0"/>
        <v>28913336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1310401</v>
      </c>
      <c r="G18" s="245">
        <v>1288406</v>
      </c>
      <c r="H18" s="15"/>
      <c r="I18" s="246"/>
      <c r="J18" s="245"/>
      <c r="K18" s="243"/>
      <c r="L18" s="246"/>
      <c r="M18" s="245"/>
      <c r="N18" s="243"/>
      <c r="O18" s="382">
        <f t="shared" si="0"/>
        <v>1310401</v>
      </c>
      <c r="P18" s="395">
        <f t="shared" si="0"/>
        <v>1288406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5120681</v>
      </c>
      <c r="G19" s="247">
        <v>4670919</v>
      </c>
      <c r="H19" s="15"/>
      <c r="I19" s="248"/>
      <c r="J19" s="247"/>
      <c r="K19" s="243"/>
      <c r="L19" s="248"/>
      <c r="M19" s="247"/>
      <c r="N19" s="243"/>
      <c r="O19" s="377">
        <f t="shared" si="0"/>
        <v>5120681</v>
      </c>
      <c r="P19" s="429">
        <f t="shared" si="0"/>
        <v>4670919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295556</v>
      </c>
      <c r="G20" s="247">
        <v>358521</v>
      </c>
      <c r="H20" s="15"/>
      <c r="I20" s="248"/>
      <c r="J20" s="247"/>
      <c r="K20" s="243"/>
      <c r="L20" s="248"/>
      <c r="M20" s="247"/>
      <c r="N20" s="243"/>
      <c r="O20" s="377">
        <f t="shared" si="0"/>
        <v>295556</v>
      </c>
      <c r="P20" s="429">
        <f t="shared" si="0"/>
        <v>358521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179</v>
      </c>
      <c r="G22" s="247">
        <v>6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179</v>
      </c>
      <c r="P22" s="429">
        <f t="shared" si="0"/>
        <v>6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43328</v>
      </c>
      <c r="G24" s="249">
        <v>34773</v>
      </c>
      <c r="H24" s="15"/>
      <c r="I24" s="250"/>
      <c r="J24" s="249">
        <v>-111</v>
      </c>
      <c r="K24" s="243"/>
      <c r="L24" s="250"/>
      <c r="M24" s="249"/>
      <c r="N24" s="243"/>
      <c r="O24" s="378">
        <f t="shared" si="0"/>
        <v>43328</v>
      </c>
      <c r="P24" s="401">
        <f t="shared" si="0"/>
        <v>34662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33890755</v>
      </c>
      <c r="G25" s="251">
        <f>+ROUND(+SUM(G15,G16,G18,G19,G20,G21,G22,G23,G24),0)</f>
        <v>35265961</v>
      </c>
      <c r="H25" s="15"/>
      <c r="I25" s="252">
        <f>+ROUND(+SUM(I15,I16,I18,I19,I20,I21,I22,I23,I24),0)</f>
        <v>0</v>
      </c>
      <c r="J25" s="251">
        <f>+ROUND(+SUM(J15,J16,J18,J19,J20,J21,J22,J23,J24),0)</f>
        <v>-111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33890755</v>
      </c>
      <c r="P25" s="380">
        <f>+ROUND(+SUM(P15,P16,P18,P19,P20,P21,P22,P23,P24),0)</f>
        <v>35265850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15507</v>
      </c>
      <c r="G28" s="247">
        <v>10006</v>
      </c>
      <c r="H28" s="15"/>
      <c r="I28" s="248"/>
      <c r="J28" s="247"/>
      <c r="K28" s="243"/>
      <c r="L28" s="248"/>
      <c r="M28" s="247"/>
      <c r="N28" s="243"/>
      <c r="O28" s="377">
        <f t="shared" si="1"/>
        <v>15507</v>
      </c>
      <c r="P28" s="429">
        <f t="shared" si="1"/>
        <v>10006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15507</v>
      </c>
      <c r="G30" s="251">
        <f>+ROUND(+SUM(G27:G29),0)</f>
        <v>10006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15507</v>
      </c>
      <c r="P30" s="380">
        <f>+ROUND(+SUM(P27:P29),0)</f>
        <v>10006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-379301</v>
      </c>
      <c r="G37" s="263">
        <v>-356331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-379301</v>
      </c>
      <c r="P37" s="380">
        <f t="shared" si="2"/>
        <v>-356331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-3438</v>
      </c>
      <c r="G38" s="265">
        <v>-6882</v>
      </c>
      <c r="H38" s="15"/>
      <c r="I38" s="266"/>
      <c r="J38" s="265"/>
      <c r="K38" s="243"/>
      <c r="L38" s="266"/>
      <c r="M38" s="265"/>
      <c r="N38" s="243"/>
      <c r="O38" s="392">
        <f t="shared" si="2"/>
        <v>-3438</v>
      </c>
      <c r="P38" s="430">
        <f t="shared" si="2"/>
        <v>-6882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-47849</v>
      </c>
      <c r="G39" s="267">
        <v>-61361</v>
      </c>
      <c r="H39" s="15"/>
      <c r="I39" s="268"/>
      <c r="J39" s="267"/>
      <c r="K39" s="243"/>
      <c r="L39" s="268"/>
      <c r="M39" s="267"/>
      <c r="N39" s="243"/>
      <c r="O39" s="393">
        <f t="shared" si="2"/>
        <v>-47849</v>
      </c>
      <c r="P39" s="431">
        <f t="shared" si="2"/>
        <v>-61361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25600</v>
      </c>
      <c r="G42" s="263">
        <v>19978</v>
      </c>
      <c r="H42" s="15"/>
      <c r="I42" s="264"/>
      <c r="J42" s="263"/>
      <c r="K42" s="243"/>
      <c r="L42" s="264"/>
      <c r="M42" s="263"/>
      <c r="N42" s="243"/>
      <c r="O42" s="379">
        <f>+ROUND(+F42+I42+L42,0)</f>
        <v>25600</v>
      </c>
      <c r="P42" s="380">
        <f>+ROUND(+G42+J42+M42,0)</f>
        <v>19978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1503</v>
      </c>
      <c r="G44" s="245">
        <v>1647</v>
      </c>
      <c r="H44" s="15"/>
      <c r="I44" s="246">
        <v>536814</v>
      </c>
      <c r="J44" s="245">
        <v>246229</v>
      </c>
      <c r="K44" s="243"/>
      <c r="L44" s="246"/>
      <c r="M44" s="245"/>
      <c r="N44" s="243"/>
      <c r="O44" s="382">
        <f aca="true" t="shared" si="3" ref="O44:P47">+ROUND(+F44+I44+L44,0)</f>
        <v>538317</v>
      </c>
      <c r="P44" s="395">
        <f t="shared" si="3"/>
        <v>247876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>
        <v>4237070</v>
      </c>
      <c r="G45" s="247">
        <v>3022082</v>
      </c>
      <c r="H45" s="15"/>
      <c r="I45" s="248">
        <v>143168</v>
      </c>
      <c r="J45" s="247">
        <v>174800</v>
      </c>
      <c r="K45" s="243"/>
      <c r="L45" s="248"/>
      <c r="M45" s="247"/>
      <c r="N45" s="243"/>
      <c r="O45" s="377">
        <f t="shared" si="3"/>
        <v>4380238</v>
      </c>
      <c r="P45" s="429">
        <f t="shared" si="3"/>
        <v>3196882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>
        <v>0</v>
      </c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86493</v>
      </c>
      <c r="G47" s="249">
        <v>345656</v>
      </c>
      <c r="H47" s="15"/>
      <c r="I47" s="250"/>
      <c r="J47" s="249"/>
      <c r="K47" s="243"/>
      <c r="L47" s="250"/>
      <c r="M47" s="249"/>
      <c r="N47" s="243"/>
      <c r="O47" s="378">
        <f t="shared" si="3"/>
        <v>86493</v>
      </c>
      <c r="P47" s="401">
        <f t="shared" si="3"/>
        <v>345656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4325066</v>
      </c>
      <c r="G48" s="251">
        <f>+ROUND(+SUM(G44:G47),0)</f>
        <v>3369385</v>
      </c>
      <c r="H48" s="15"/>
      <c r="I48" s="252">
        <f>+ROUND(+SUM(I44:I47),0)</f>
        <v>679982</v>
      </c>
      <c r="J48" s="251">
        <f>+ROUND(+SUM(J44:J47),0)</f>
        <v>421029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5005048</v>
      </c>
      <c r="P48" s="380">
        <f>+ROUND(+SUM(P44:P47),0)</f>
        <v>3790414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37877627</v>
      </c>
      <c r="G50" s="273">
        <f>+ROUND(G25+G30+G37+G42+G48,0)</f>
        <v>38308999</v>
      </c>
      <c r="H50" s="15"/>
      <c r="I50" s="274">
        <f>+ROUND(I25+I30+I37+I42+I48,0)</f>
        <v>679982</v>
      </c>
      <c r="J50" s="273">
        <f>+ROUND(J25+J30+J37+J42+J48,0)</f>
        <v>420918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38557609</v>
      </c>
      <c r="P50" s="397">
        <f>+ROUND(P25+P30+P37+P42+P48,0)</f>
        <v>38729917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81935399</v>
      </c>
      <c r="G53" s="275">
        <v>131151643</v>
      </c>
      <c r="H53" s="15"/>
      <c r="I53" s="276">
        <v>551500</v>
      </c>
      <c r="J53" s="275">
        <v>2584980</v>
      </c>
      <c r="K53" s="243"/>
      <c r="L53" s="276"/>
      <c r="M53" s="275"/>
      <c r="N53" s="243"/>
      <c r="O53" s="383">
        <f aca="true" t="shared" si="4" ref="O53:P57">+ROUND(+F53+I53+L53,0)</f>
        <v>82486899</v>
      </c>
      <c r="P53" s="376">
        <f t="shared" si="4"/>
        <v>133736623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1186022</v>
      </c>
      <c r="G54" s="249">
        <v>1470209</v>
      </c>
      <c r="H54" s="15"/>
      <c r="I54" s="250">
        <v>494</v>
      </c>
      <c r="J54" s="249">
        <v>318</v>
      </c>
      <c r="K54" s="243"/>
      <c r="L54" s="250"/>
      <c r="M54" s="249"/>
      <c r="N54" s="243"/>
      <c r="O54" s="378">
        <f t="shared" si="4"/>
        <v>1186516</v>
      </c>
      <c r="P54" s="401">
        <f t="shared" si="4"/>
        <v>1470527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1903034</v>
      </c>
      <c r="G55" s="249">
        <v>810187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1903034</v>
      </c>
      <c r="P55" s="401">
        <f t="shared" si="4"/>
        <v>810187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168733235</v>
      </c>
      <c r="G56" s="249">
        <v>172740778</v>
      </c>
      <c r="H56" s="15"/>
      <c r="I56" s="250">
        <v>382384</v>
      </c>
      <c r="J56" s="249">
        <v>635846</v>
      </c>
      <c r="K56" s="243"/>
      <c r="L56" s="250"/>
      <c r="M56" s="249"/>
      <c r="N56" s="243"/>
      <c r="O56" s="378">
        <f t="shared" si="4"/>
        <v>169115619</v>
      </c>
      <c r="P56" s="401">
        <f t="shared" si="4"/>
        <v>173376624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34076749</v>
      </c>
      <c r="G57" s="249">
        <v>33803767</v>
      </c>
      <c r="H57" s="15"/>
      <c r="I57" s="250">
        <v>28271</v>
      </c>
      <c r="J57" s="249">
        <v>52551</v>
      </c>
      <c r="K57" s="243"/>
      <c r="L57" s="250"/>
      <c r="M57" s="249"/>
      <c r="N57" s="243"/>
      <c r="O57" s="378">
        <f t="shared" si="4"/>
        <v>34105020</v>
      </c>
      <c r="P57" s="401">
        <f t="shared" si="4"/>
        <v>33856318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287834439</v>
      </c>
      <c r="G58" s="277">
        <f>+ROUND(+SUM(G53:G57),0)</f>
        <v>339976584</v>
      </c>
      <c r="H58" s="15"/>
      <c r="I58" s="278">
        <f>+ROUND(+SUM(I53:I57),0)</f>
        <v>962649</v>
      </c>
      <c r="J58" s="277">
        <f>+ROUND(+SUM(J53:J57),0)</f>
        <v>3273695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288797088</v>
      </c>
      <c r="P58" s="399">
        <f>+ROUND(+SUM(P53:P57),0)</f>
        <v>343250279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711905</v>
      </c>
      <c r="G61" s="249">
        <v>914401</v>
      </c>
      <c r="H61" s="15"/>
      <c r="I61" s="250">
        <v>13993893</v>
      </c>
      <c r="J61" s="249">
        <v>6498745</v>
      </c>
      <c r="K61" s="243"/>
      <c r="L61" s="250"/>
      <c r="M61" s="249"/>
      <c r="N61" s="243"/>
      <c r="O61" s="378">
        <f t="shared" si="5"/>
        <v>14705798</v>
      </c>
      <c r="P61" s="401">
        <f t="shared" si="5"/>
        <v>7413146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400158</v>
      </c>
      <c r="G62" s="249">
        <v>287102</v>
      </c>
      <c r="H62" s="15"/>
      <c r="I62" s="250">
        <v>700</v>
      </c>
      <c r="J62" s="249">
        <v>72336</v>
      </c>
      <c r="K62" s="243"/>
      <c r="L62" s="250"/>
      <c r="M62" s="249"/>
      <c r="N62" s="243"/>
      <c r="O62" s="378">
        <f t="shared" si="5"/>
        <v>400858</v>
      </c>
      <c r="P62" s="401">
        <f t="shared" si="5"/>
        <v>359438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1112063</v>
      </c>
      <c r="G65" s="277">
        <f>+ROUND(+SUM(G60:G63),0)</f>
        <v>1201503</v>
      </c>
      <c r="H65" s="15"/>
      <c r="I65" s="278">
        <f>+ROUND(+SUM(I60:I63),0)</f>
        <v>13994593</v>
      </c>
      <c r="J65" s="277">
        <f>+ROUND(+SUM(J60:J63),0)</f>
        <v>6571081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15106656</v>
      </c>
      <c r="P65" s="399">
        <f>+ROUND(+SUM(P60:P63),0)</f>
        <v>7772584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>
        <v>18923</v>
      </c>
      <c r="G67" s="275">
        <v>62911</v>
      </c>
      <c r="H67" s="15"/>
      <c r="I67" s="276"/>
      <c r="J67" s="275"/>
      <c r="K67" s="243"/>
      <c r="L67" s="276"/>
      <c r="M67" s="275"/>
      <c r="N67" s="243"/>
      <c r="O67" s="383">
        <f>+ROUND(+F67+I67+L67,0)</f>
        <v>18923</v>
      </c>
      <c r="P67" s="376">
        <f>+ROUND(+G67+J67+M67,0)</f>
        <v>62911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2589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2589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21512</v>
      </c>
      <c r="G69" s="277">
        <f>+ROUND(+SUM(G67:G68),0)</f>
        <v>62911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21512</v>
      </c>
      <c r="P69" s="399">
        <f>+ROUND(+SUM(P67:P68),0)</f>
        <v>62911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22466379</v>
      </c>
      <c r="G71" s="275">
        <v>23324279</v>
      </c>
      <c r="H71" s="15"/>
      <c r="I71" s="276">
        <v>215617</v>
      </c>
      <c r="J71" s="275">
        <v>344689</v>
      </c>
      <c r="K71" s="243"/>
      <c r="L71" s="276"/>
      <c r="M71" s="275"/>
      <c r="N71" s="243"/>
      <c r="O71" s="383">
        <f>+ROUND(+F71+I71+L71,0)</f>
        <v>22681996</v>
      </c>
      <c r="P71" s="376">
        <f>+ROUND(+G71+J71+M71,0)</f>
        <v>23668968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22466379</v>
      </c>
      <c r="G73" s="277">
        <f>+ROUND(+SUM(G71:G72),0)</f>
        <v>23324279</v>
      </c>
      <c r="H73" s="15"/>
      <c r="I73" s="278">
        <f>+ROUND(+SUM(I71:I72),0)</f>
        <v>215617</v>
      </c>
      <c r="J73" s="277">
        <f>+ROUND(+SUM(J71:J72),0)</f>
        <v>344689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22681996</v>
      </c>
      <c r="P73" s="399">
        <f>+ROUND(+SUM(P71:P72),0)</f>
        <v>23668968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99446197</v>
      </c>
      <c r="G75" s="275">
        <v>101270914</v>
      </c>
      <c r="H75" s="15"/>
      <c r="I75" s="276"/>
      <c r="J75" s="275"/>
      <c r="K75" s="243"/>
      <c r="L75" s="276"/>
      <c r="M75" s="275"/>
      <c r="N75" s="243"/>
      <c r="O75" s="383">
        <f>+ROUND(+F75+I75+L75,0)</f>
        <v>99446197</v>
      </c>
      <c r="P75" s="376">
        <f>+ROUND(+G75+J75+M75,0)</f>
        <v>101270914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5761816</v>
      </c>
      <c r="G76" s="249">
        <v>11610329</v>
      </c>
      <c r="H76" s="15"/>
      <c r="I76" s="250"/>
      <c r="J76" s="249"/>
      <c r="K76" s="243"/>
      <c r="L76" s="250"/>
      <c r="M76" s="249"/>
      <c r="N76" s="243"/>
      <c r="O76" s="378">
        <f>+ROUND(+F76+I76+L76,0)</f>
        <v>5761816</v>
      </c>
      <c r="P76" s="401">
        <f>+ROUND(+G76+J76+M76,0)</f>
        <v>11610329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105208013</v>
      </c>
      <c r="G77" s="277">
        <f>+ROUND(+SUM(G75:G76),0)</f>
        <v>112881243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105208013</v>
      </c>
      <c r="P77" s="399">
        <f>+ROUND(+SUM(P75:P76),0)</f>
        <v>112881243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416642406</v>
      </c>
      <c r="G79" s="288">
        <f>+ROUND(G58+G65+G69+G73+G77,0)</f>
        <v>477446520</v>
      </c>
      <c r="H79" s="15"/>
      <c r="I79" s="285">
        <f>+ROUND(I58+I65+I69+I73+I77,0)</f>
        <v>15172859</v>
      </c>
      <c r="J79" s="288">
        <f>+ROUND(J58+J65+J69+J73+J77,0)</f>
        <v>10189465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431815265</v>
      </c>
      <c r="P79" s="409">
        <f>+ROUND(P58+P65+P69+P73+P77,0)</f>
        <v>487635985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406010747</v>
      </c>
      <c r="G81" s="245">
        <v>449303850</v>
      </c>
      <c r="H81" s="15"/>
      <c r="I81" s="246">
        <v>15738430</v>
      </c>
      <c r="J81" s="245">
        <v>9384366</v>
      </c>
      <c r="K81" s="243"/>
      <c r="L81" s="246"/>
      <c r="M81" s="245"/>
      <c r="N81" s="243"/>
      <c r="O81" s="382">
        <f>+ROUND(+F81+I81+L81,0)</f>
        <v>421749177</v>
      </c>
      <c r="P81" s="395">
        <f>+ROUND(+G81+J81+M81,0)</f>
        <v>458688216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406010747</v>
      </c>
      <c r="G83" s="286">
        <f>+ROUND(G81+G82,0)</f>
        <v>449303850</v>
      </c>
      <c r="H83" s="15"/>
      <c r="I83" s="287">
        <f>+ROUND(I81+I82,0)</f>
        <v>15738430</v>
      </c>
      <c r="J83" s="286">
        <f>+ROUND(J81+J82,0)</f>
        <v>9384366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421749177</v>
      </c>
      <c r="P83" s="404">
        <f>+ROUND(P81+P82,0)</f>
        <v>458688216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27245968</v>
      </c>
      <c r="G85" s="307">
        <f>+ROUND(G50,0)-ROUND(G79,0)+ROUND(G83,0)</f>
        <v>10166329</v>
      </c>
      <c r="H85" s="15"/>
      <c r="I85" s="308">
        <f>+ROUND(I50,0)-ROUND(I79,0)+ROUND(I83,0)</f>
        <v>1245553</v>
      </c>
      <c r="J85" s="307">
        <f>+ROUND(J50,0)-ROUND(J79,0)+ROUND(J83,0)</f>
        <v>-384181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28491521</v>
      </c>
      <c r="P85" s="406">
        <f>+ROUND(P50,0)-ROUND(P79,0)+ROUND(P83,0)</f>
        <v>9782148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-27245968</v>
      </c>
      <c r="G86" s="309">
        <f>+ROUND(G103,0)+ROUND(G122,0)+ROUND(G129,0)-ROUND(G134,0)</f>
        <v>-10166329</v>
      </c>
      <c r="H86" s="15"/>
      <c r="I86" s="310">
        <f>+ROUND(I103,0)+ROUND(I122,0)+ROUND(I129,0)-ROUND(I134,0)</f>
        <v>-1245553</v>
      </c>
      <c r="J86" s="309">
        <f>+ROUND(J103,0)+ROUND(J122,0)+ROUND(J129,0)-ROUND(J134,0)</f>
        <v>384181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-28491521</v>
      </c>
      <c r="P86" s="408">
        <f>+ROUND(P103,0)+ROUND(P122,0)+ROUND(P129,0)-ROUND(P134,0)</f>
        <v>-9782148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>
        <v>-20000000</v>
      </c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-20000000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-20000000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-20000000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-2223113</v>
      </c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-2223113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556667</v>
      </c>
      <c r="G94" s="249">
        <v>777778</v>
      </c>
      <c r="H94" s="15"/>
      <c r="I94" s="250"/>
      <c r="J94" s="249"/>
      <c r="K94" s="243"/>
      <c r="L94" s="250"/>
      <c r="M94" s="249"/>
      <c r="N94" s="243"/>
      <c r="O94" s="378">
        <f t="shared" si="6"/>
        <v>556667</v>
      </c>
      <c r="P94" s="401">
        <f t="shared" si="6"/>
        <v>777778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-1666446</v>
      </c>
      <c r="G97" s="251">
        <f>+ROUND(+SUM(G93:G96),0)</f>
        <v>777778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-1666446</v>
      </c>
      <c r="P97" s="380">
        <f>+ROUND(+SUM(P93:P96),0)</f>
        <v>777778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37081</v>
      </c>
      <c r="G100" s="249">
        <v>-34753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37081</v>
      </c>
      <c r="P100" s="401">
        <f>+ROUND(+G100+J100+M100,0)</f>
        <v>-34753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37081</v>
      </c>
      <c r="G101" s="251">
        <f>+ROUND(+SUM(G99:G100),0)</f>
        <v>-34753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37081</v>
      </c>
      <c r="P101" s="380">
        <f>+ROUND(+SUM(P99:P100),0)</f>
        <v>-34753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-21629365</v>
      </c>
      <c r="G103" s="273">
        <f>+ROUND(G91+G97+G101,0)</f>
        <v>743025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-21629365</v>
      </c>
      <c r="P103" s="397">
        <f>+ROUND(P91+P97+P101,0)</f>
        <v>743025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>
        <v>-5510359</v>
      </c>
      <c r="G111" s="249">
        <v>-10782957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-5510359</v>
      </c>
      <c r="P111" s="401">
        <f>+ROUND(+G111+J111+M111,0)</f>
        <v>-10782957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-5510359</v>
      </c>
      <c r="G112" s="277">
        <f>+ROUND(+SUM(G110:G111),0)</f>
        <v>-10782957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-5510359</v>
      </c>
      <c r="P112" s="399">
        <f>+ROUND(+SUM(P110:P111),0)</f>
        <v>-10782957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-20109</v>
      </c>
      <c r="G118" s="275">
        <v>-36601</v>
      </c>
      <c r="H118" s="15"/>
      <c r="I118" s="276"/>
      <c r="J118" s="275"/>
      <c r="K118" s="243"/>
      <c r="L118" s="276">
        <v>-957986</v>
      </c>
      <c r="M118" s="275">
        <v>781519</v>
      </c>
      <c r="N118" s="243"/>
      <c r="O118" s="383">
        <f>+ROUND(+F118+I118+L118,0)</f>
        <v>-978095</v>
      </c>
      <c r="P118" s="376">
        <f>+ROUND(+G118+J118+M118,0)</f>
        <v>744918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195</v>
      </c>
      <c r="G119" s="249">
        <v>5096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195</v>
      </c>
      <c r="P119" s="401">
        <f>+ROUND(+G119+J119+M119,0)</f>
        <v>5096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-19914</v>
      </c>
      <c r="G120" s="277">
        <f>+ROUND(+SUM(G118:G119),0)</f>
        <v>-31505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-957986</v>
      </c>
      <c r="M120" s="277">
        <f>+ROUND(+SUM(M118:M119),0)</f>
        <v>781519</v>
      </c>
      <c r="N120" s="243"/>
      <c r="O120" s="398">
        <f>+ROUND(+SUM(O118:O119),0)</f>
        <v>-977900</v>
      </c>
      <c r="P120" s="399">
        <f>+ROUND(+SUM(P118:P119),0)</f>
        <v>750014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-5530273</v>
      </c>
      <c r="G122" s="288">
        <f>+ROUND(G108+G112+G116+G120,0)</f>
        <v>-10814462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-957986</v>
      </c>
      <c r="M122" s="288">
        <f>+ROUND(M108+M112+M116+M120,0)</f>
        <v>781519</v>
      </c>
      <c r="N122" s="243"/>
      <c r="O122" s="402">
        <f>+ROUND(O108+O112+O116+O120,0)</f>
        <v>-6488259</v>
      </c>
      <c r="P122" s="409">
        <f>+ROUND(P108+P112+P116+P120,0)</f>
        <v>-10032943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1243808</v>
      </c>
      <c r="G125" s="249">
        <v>-362092</v>
      </c>
      <c r="H125" s="15"/>
      <c r="I125" s="250">
        <v>-1259125</v>
      </c>
      <c r="J125" s="249">
        <v>355019</v>
      </c>
      <c r="K125" s="243"/>
      <c r="L125" s="250"/>
      <c r="M125" s="249"/>
      <c r="N125" s="243"/>
      <c r="O125" s="378">
        <f t="shared" si="7"/>
        <v>-15317</v>
      </c>
      <c r="P125" s="401">
        <f t="shared" si="7"/>
        <v>-7073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-632609</v>
      </c>
      <c r="G126" s="249">
        <v>-52423</v>
      </c>
      <c r="H126" s="15"/>
      <c r="I126" s="250">
        <v>13572</v>
      </c>
      <c r="J126" s="249">
        <v>52423</v>
      </c>
      <c r="K126" s="243"/>
      <c r="L126" s="250"/>
      <c r="M126" s="249"/>
      <c r="N126" s="243"/>
      <c r="O126" s="378">
        <f t="shared" si="7"/>
        <v>-619037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611199</v>
      </c>
      <c r="G129" s="286">
        <f>+ROUND(+SUM(G124,G125,G126,G128),0)</f>
        <v>-414515</v>
      </c>
      <c r="H129" s="15"/>
      <c r="I129" s="287">
        <f>+ROUND(+SUM(I124,I125,I126,I128),0)</f>
        <v>-1245553</v>
      </c>
      <c r="J129" s="286">
        <f>+ROUND(+SUM(J124,J125,J126,J128),0)</f>
        <v>407442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-634354</v>
      </c>
      <c r="P129" s="404">
        <f>+ROUND(+SUM(P124,P125,P126,P128),0)</f>
        <v>-7073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2861044</v>
      </c>
      <c r="G131" s="245">
        <v>3214939</v>
      </c>
      <c r="H131" s="15"/>
      <c r="I131" s="246"/>
      <c r="J131" s="245"/>
      <c r="K131" s="243"/>
      <c r="L131" s="246">
        <v>2364139</v>
      </c>
      <c r="M131" s="245">
        <v>1582619</v>
      </c>
      <c r="N131" s="243"/>
      <c r="O131" s="382">
        <f aca="true" t="shared" si="8" ref="O131:P133">+ROUND(+F131+I131+L131,0)</f>
        <v>5225183</v>
      </c>
      <c r="P131" s="395">
        <f t="shared" si="8"/>
        <v>4797558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19035</v>
      </c>
      <c r="G132" s="249">
        <v>-34273</v>
      </c>
      <c r="H132" s="15"/>
      <c r="I132" s="250"/>
      <c r="J132" s="249">
        <v>-23261</v>
      </c>
      <c r="K132" s="243"/>
      <c r="L132" s="250">
        <v>0</v>
      </c>
      <c r="M132" s="249"/>
      <c r="N132" s="243"/>
      <c r="O132" s="378">
        <f t="shared" si="8"/>
        <v>19035</v>
      </c>
      <c r="P132" s="401">
        <f t="shared" si="8"/>
        <v>-57534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3577608</v>
      </c>
      <c r="G133" s="249">
        <v>2861043</v>
      </c>
      <c r="H133" s="15"/>
      <c r="I133" s="250"/>
      <c r="J133" s="249"/>
      <c r="K133" s="243"/>
      <c r="L133" s="250">
        <v>1406153</v>
      </c>
      <c r="M133" s="249">
        <v>2364138</v>
      </c>
      <c r="N133" s="243"/>
      <c r="O133" s="378">
        <f t="shared" si="8"/>
        <v>4983761</v>
      </c>
      <c r="P133" s="401">
        <f t="shared" si="8"/>
        <v>5225181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697529</v>
      </c>
      <c r="G134" s="291">
        <f>+ROUND(+G133-G131-G132,0)</f>
        <v>-319623</v>
      </c>
      <c r="H134" s="15"/>
      <c r="I134" s="292">
        <f>+ROUND(+I133-I131-I132,0)</f>
        <v>0</v>
      </c>
      <c r="J134" s="291">
        <f>+ROUND(+J133-J131-J132,0)</f>
        <v>23261</v>
      </c>
      <c r="K134" s="243"/>
      <c r="L134" s="292">
        <f>+ROUND(+L133-L131-L132,0)</f>
        <v>-957986</v>
      </c>
      <c r="M134" s="291">
        <f>+ROUND(+M133-M131-M132,0)</f>
        <v>781519</v>
      </c>
      <c r="N134" s="243"/>
      <c r="O134" s="411">
        <f>+ROUND(+O133-O131-O132,0)</f>
        <v>-260457</v>
      </c>
      <c r="P134" s="412">
        <f>+ROUND(+P133-P131-P132,0)</f>
        <v>485157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10122018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374</v>
      </c>
      <c r="G143" s="592"/>
      <c r="H143" s="592"/>
      <c r="I143" s="593"/>
      <c r="J143" s="362"/>
      <c r="K143" s="16"/>
      <c r="L143" s="362" t="s">
        <v>241</v>
      </c>
      <c r="M143" s="591" t="s">
        <v>373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2" sqref="L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МИНИСТЕРСТВО НА ЗДРАВЕОПАЗВАНЕТО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0</v>
      </c>
      <c r="J1" s="680"/>
      <c r="K1" s="456"/>
      <c r="L1" s="457" t="s">
        <v>254</v>
      </c>
      <c r="M1" s="458">
        <f>+'Cash-Flow-2018-Leva'!M1</f>
        <v>1600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МИНИСТЕРСТВО НА ЗДРАВЕОПАЗВАНЕТО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30.11.2018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30.11.2018 г.</v>
      </c>
      <c r="G11" s="413">
        <f>+'Cash-Flow-2018-Leva'!G11</f>
        <v>2017</v>
      </c>
      <c r="H11" s="5"/>
      <c r="I11" s="118" t="str">
        <f>+O8</f>
        <v>30.11.2018 г.</v>
      </c>
      <c r="J11" s="414">
        <f>+'Cash-Flow-2018-Leva'!J11</f>
        <v>2017</v>
      </c>
      <c r="K11" s="5"/>
      <c r="L11" s="116" t="str">
        <f>+O8</f>
        <v>30.11.2018 г.</v>
      </c>
      <c r="M11" s="415">
        <f>+'Cash-Flow-2018-Leva'!M11</f>
        <v>2017</v>
      </c>
      <c r="N11" s="482"/>
      <c r="O11" s="370" t="str">
        <f>+O8</f>
        <v>30.11.2018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27120.61</v>
      </c>
      <c r="G16" s="283">
        <f>+'Cash-Flow-2018-Leva'!G16/1000</f>
        <v>28913.336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27120.61</v>
      </c>
      <c r="P16" s="401">
        <f t="shared" si="1"/>
        <v>28913.336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1310.401</v>
      </c>
      <c r="G18" s="271">
        <f>+'Cash-Flow-2018-Leva'!G18/1000</f>
        <v>1288.406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1310.401</v>
      </c>
      <c r="P18" s="395">
        <f t="shared" si="1"/>
        <v>1288.406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5120.681</v>
      </c>
      <c r="G19" s="294">
        <f>+'Cash-Flow-2018-Leva'!G19/1000</f>
        <v>4670.919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5120.681</v>
      </c>
      <c r="P19" s="429">
        <f t="shared" si="1"/>
        <v>4670.919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295.556</v>
      </c>
      <c r="G20" s="294">
        <f>+'Cash-Flow-2018-Leva'!G20/1000</f>
        <v>358.521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295.556</v>
      </c>
      <c r="P20" s="429">
        <f t="shared" si="1"/>
        <v>358.521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0.179</v>
      </c>
      <c r="G22" s="294">
        <f>+'Cash-Flow-2018-Leva'!G22/1000</f>
        <v>0.006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0.179</v>
      </c>
      <c r="P22" s="429">
        <f t="shared" si="1"/>
        <v>0.006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43.328</v>
      </c>
      <c r="G24" s="283">
        <f>+'Cash-Flow-2018-Leva'!G24/1000</f>
        <v>34.773</v>
      </c>
      <c r="H24" s="293"/>
      <c r="I24" s="284">
        <f>+'Cash-Flow-2018-Leva'!I24/1000</f>
        <v>0</v>
      </c>
      <c r="J24" s="283">
        <f>+'Cash-Flow-2018-Leva'!J24/1000</f>
        <v>-0.111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43.328</v>
      </c>
      <c r="P24" s="401">
        <f t="shared" si="1"/>
        <v>34.662000000000006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33890.755</v>
      </c>
      <c r="G25" s="251">
        <f>+SUM(G15,G16,G18,G19,G20,G21,G22,G23,G24)</f>
        <v>35265.961</v>
      </c>
      <c r="H25" s="293"/>
      <c r="I25" s="252">
        <f>+SUM(I15,I16,I18,I19,I20,I21,I22,I23,I24)</f>
        <v>0</v>
      </c>
      <c r="J25" s="251">
        <f>+SUM(J15,J16,J18,J19,J20,J21,J22,J23,J24)</f>
        <v>-0.111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33890.755</v>
      </c>
      <c r="P25" s="380">
        <f>+SUM(P15,P16,P18,P19,P20,P21,P22,P23,P24)</f>
        <v>35265.85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15.507</v>
      </c>
      <c r="G28" s="294">
        <f>+'Cash-Flow-2018-Leva'!G28/1000</f>
        <v>10.006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15.507</v>
      </c>
      <c r="P28" s="429">
        <f t="shared" si="2"/>
        <v>10.006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15.507</v>
      </c>
      <c r="G30" s="251">
        <f>+SUM(G27:G29)</f>
        <v>10.006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15.507</v>
      </c>
      <c r="P30" s="380">
        <f>+SUM(P27:P29)</f>
        <v>10.006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-379.301</v>
      </c>
      <c r="G37" s="251">
        <f>+'Cash-Flow-2018-Leva'!G37/1000</f>
        <v>-356.331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-379.301</v>
      </c>
      <c r="P37" s="380">
        <f t="shared" si="3"/>
        <v>-356.331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-3.438</v>
      </c>
      <c r="G38" s="296">
        <f>+'Cash-Flow-2018-Leva'!G38/1000</f>
        <v>-6.882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-3.438</v>
      </c>
      <c r="P38" s="430">
        <f t="shared" si="3"/>
        <v>-6.882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-47.849</v>
      </c>
      <c r="G39" s="298">
        <f>+'Cash-Flow-2018-Leva'!G39/1000</f>
        <v>-61.361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-47.849</v>
      </c>
      <c r="P39" s="431">
        <f t="shared" si="3"/>
        <v>-61.361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25.6</v>
      </c>
      <c r="G42" s="251">
        <f>+'Cash-Flow-2018-Leva'!G42/1000</f>
        <v>19.978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25.6</v>
      </c>
      <c r="P42" s="380">
        <f>+G42+J42+M42</f>
        <v>19.978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1.503</v>
      </c>
      <c r="G44" s="271">
        <f>+'Cash-Flow-2018-Leva'!G44/1000</f>
        <v>1.647</v>
      </c>
      <c r="H44" s="293"/>
      <c r="I44" s="272">
        <f>+'Cash-Flow-2018-Leva'!I44/1000</f>
        <v>536.814</v>
      </c>
      <c r="J44" s="271">
        <f>+'Cash-Flow-2018-Leva'!J44/1000</f>
        <v>246.229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538.317</v>
      </c>
      <c r="P44" s="395">
        <f t="shared" si="4"/>
        <v>247.876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4237.07</v>
      </c>
      <c r="G45" s="294">
        <f>+'Cash-Flow-2018-Leva'!G45/1000</f>
        <v>3022.082</v>
      </c>
      <c r="H45" s="293"/>
      <c r="I45" s="295">
        <f>+'Cash-Flow-2018-Leva'!I45/1000</f>
        <v>143.168</v>
      </c>
      <c r="J45" s="294">
        <f>+'Cash-Flow-2018-Leva'!J45/1000</f>
        <v>174.8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4380.237999999999</v>
      </c>
      <c r="P45" s="429">
        <f t="shared" si="4"/>
        <v>3196.882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86.493</v>
      </c>
      <c r="G47" s="283">
        <f>+'Cash-Flow-2018-Leva'!G47/1000</f>
        <v>345.656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86.493</v>
      </c>
      <c r="P47" s="401">
        <f t="shared" si="4"/>
        <v>345.656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4325.066</v>
      </c>
      <c r="G48" s="251">
        <f>+SUM(G44:G47)</f>
        <v>3369.3849999999998</v>
      </c>
      <c r="H48" s="293"/>
      <c r="I48" s="252">
        <f>+SUM(I44:I47)</f>
        <v>679.982</v>
      </c>
      <c r="J48" s="251">
        <f>+SUM(J44:J47)</f>
        <v>421.029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5005.048</v>
      </c>
      <c r="P48" s="380">
        <f>+SUM(P44:P47)</f>
        <v>3790.414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37877.62699999999</v>
      </c>
      <c r="G50" s="273">
        <f>+G25+G30+G37+G42+G48</f>
        <v>38308.99900000001</v>
      </c>
      <c r="H50" s="293"/>
      <c r="I50" s="274">
        <f>+I25+I30+I37+I42+I48</f>
        <v>679.982</v>
      </c>
      <c r="J50" s="273">
        <f>+J25+J30+J37+J42+J48</f>
        <v>420.918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38557.609</v>
      </c>
      <c r="P50" s="397">
        <f>+P25+P30+P37+P42+P48</f>
        <v>38729.917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81935.399</v>
      </c>
      <c r="G53" s="244">
        <f>+'Cash-Flow-2018-Leva'!G53/1000</f>
        <v>131151.643</v>
      </c>
      <c r="H53" s="293"/>
      <c r="I53" s="254">
        <f>+'Cash-Flow-2018-Leva'!I53/1000</f>
        <v>551.5</v>
      </c>
      <c r="J53" s="244">
        <f>+'Cash-Flow-2018-Leva'!J53/1000</f>
        <v>2584.98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82486.899</v>
      </c>
      <c r="P53" s="376">
        <f t="shared" si="5"/>
        <v>133736.62300000002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1186.022</v>
      </c>
      <c r="G54" s="283">
        <f>+'Cash-Flow-2018-Leva'!G54/1000</f>
        <v>1470.209</v>
      </c>
      <c r="H54" s="293"/>
      <c r="I54" s="284">
        <f>+'Cash-Flow-2018-Leva'!I54/1000</f>
        <v>0.494</v>
      </c>
      <c r="J54" s="283">
        <f>+'Cash-Flow-2018-Leva'!J54/1000</f>
        <v>0.318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1186.5159999999998</v>
      </c>
      <c r="P54" s="401">
        <f t="shared" si="5"/>
        <v>1470.527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1903.034</v>
      </c>
      <c r="G55" s="283">
        <f>+'Cash-Flow-2018-Leva'!G55/1000</f>
        <v>810.187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1903.034</v>
      </c>
      <c r="P55" s="401">
        <f t="shared" si="5"/>
        <v>810.187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168733.235</v>
      </c>
      <c r="G56" s="283">
        <f>+'Cash-Flow-2018-Leva'!G56/1000</f>
        <v>172740.778</v>
      </c>
      <c r="H56" s="293"/>
      <c r="I56" s="284">
        <f>+'Cash-Flow-2018-Leva'!I56/1000</f>
        <v>382.384</v>
      </c>
      <c r="J56" s="283">
        <f>+'Cash-Flow-2018-Leva'!J56/1000</f>
        <v>635.846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169115.61899999998</v>
      </c>
      <c r="P56" s="401">
        <f t="shared" si="5"/>
        <v>173376.62399999998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34076.749</v>
      </c>
      <c r="G57" s="283">
        <f>+'Cash-Flow-2018-Leva'!G57/1000</f>
        <v>33803.767</v>
      </c>
      <c r="H57" s="293"/>
      <c r="I57" s="284">
        <f>+'Cash-Flow-2018-Leva'!I57/1000</f>
        <v>28.271</v>
      </c>
      <c r="J57" s="283">
        <f>+'Cash-Flow-2018-Leva'!J57/1000</f>
        <v>52.551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34105.020000000004</v>
      </c>
      <c r="P57" s="401">
        <f t="shared" si="5"/>
        <v>33856.318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287834.439</v>
      </c>
      <c r="G58" s="277">
        <f>+SUM(G53:G57)</f>
        <v>339976.58400000003</v>
      </c>
      <c r="H58" s="293"/>
      <c r="I58" s="278">
        <f>+SUM(I53:I57)</f>
        <v>962.649</v>
      </c>
      <c r="J58" s="277">
        <f>+SUM(J53:J57)</f>
        <v>3273.695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288797.088</v>
      </c>
      <c r="P58" s="399">
        <f>+SUM(P53:P57)</f>
        <v>343250.279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711.905</v>
      </c>
      <c r="G61" s="283">
        <f>+'Cash-Flow-2018-Leva'!G61/1000</f>
        <v>914.401</v>
      </c>
      <c r="H61" s="293"/>
      <c r="I61" s="284">
        <f>+'Cash-Flow-2018-Leva'!I61/1000</f>
        <v>13993.893</v>
      </c>
      <c r="J61" s="283">
        <f>+'Cash-Flow-2018-Leva'!J61/1000</f>
        <v>6498.745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14705.798</v>
      </c>
      <c r="P61" s="401">
        <f t="shared" si="6"/>
        <v>7413.146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400.158</v>
      </c>
      <c r="G62" s="283">
        <f>+'Cash-Flow-2018-Leva'!G62/1000</f>
        <v>287.102</v>
      </c>
      <c r="H62" s="293"/>
      <c r="I62" s="284">
        <f>+'Cash-Flow-2018-Leva'!I62/1000</f>
        <v>0.7</v>
      </c>
      <c r="J62" s="283">
        <f>+'Cash-Flow-2018-Leva'!J62/1000</f>
        <v>72.336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400.858</v>
      </c>
      <c r="P62" s="401">
        <f t="shared" si="6"/>
        <v>359.438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1112.063</v>
      </c>
      <c r="G65" s="277">
        <f>+SUM(G60:G63)</f>
        <v>1201.503</v>
      </c>
      <c r="H65" s="293"/>
      <c r="I65" s="278">
        <f>+SUM(I60:I63)</f>
        <v>13994.593</v>
      </c>
      <c r="J65" s="277">
        <f>+SUM(J60:J63)</f>
        <v>6571.081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15106.656</v>
      </c>
      <c r="P65" s="399">
        <f>+SUM(P60:P63)</f>
        <v>7772.584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18.923</v>
      </c>
      <c r="G67" s="244">
        <f>+'Cash-Flow-2018-Leva'!G67/1000</f>
        <v>62.911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18.923</v>
      </c>
      <c r="P67" s="376">
        <f>+G67+J67+M67</f>
        <v>62.911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2.589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2.589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21.511999999999997</v>
      </c>
      <c r="G69" s="277">
        <f>+SUM(G67:G68)</f>
        <v>62.911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21.511999999999997</v>
      </c>
      <c r="P69" s="399">
        <f>+SUM(P67:P68)</f>
        <v>62.911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22466.379</v>
      </c>
      <c r="G71" s="244">
        <f>+'Cash-Flow-2018-Leva'!G71/1000</f>
        <v>23324.279</v>
      </c>
      <c r="H71" s="293"/>
      <c r="I71" s="254">
        <f>+'Cash-Flow-2018-Leva'!I71/1000</f>
        <v>215.617</v>
      </c>
      <c r="J71" s="244">
        <f>+'Cash-Flow-2018-Leva'!J71/1000</f>
        <v>344.689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22681.996</v>
      </c>
      <c r="P71" s="376">
        <f>+G71+J71+M71</f>
        <v>23668.967999999997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22466.379</v>
      </c>
      <c r="G73" s="277">
        <f>+SUM(G71:G72)</f>
        <v>23324.279</v>
      </c>
      <c r="H73" s="293"/>
      <c r="I73" s="278">
        <f>+SUM(I71:I72)</f>
        <v>215.617</v>
      </c>
      <c r="J73" s="277">
        <f>+SUM(J71:J72)</f>
        <v>344.689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22681.996</v>
      </c>
      <c r="P73" s="399">
        <f>+SUM(P71:P72)</f>
        <v>23668.967999999997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99446.197</v>
      </c>
      <c r="G75" s="244">
        <f>+'Cash-Flow-2018-Leva'!G75/1000</f>
        <v>101270.914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99446.197</v>
      </c>
      <c r="P75" s="376">
        <f>+G75+J75+M75</f>
        <v>101270.914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5761.816</v>
      </c>
      <c r="G76" s="283">
        <f>+'Cash-Flow-2018-Leva'!G76/1000</f>
        <v>11610.329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5761.816</v>
      </c>
      <c r="P76" s="401">
        <f>+G76+J76+M76</f>
        <v>11610.329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105208.013</v>
      </c>
      <c r="G77" s="277">
        <f>+SUM(G75:G76)</f>
        <v>112881.243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105208.013</v>
      </c>
      <c r="P77" s="399">
        <f>+SUM(P75:P76)</f>
        <v>112881.243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416642.4060000001</v>
      </c>
      <c r="G79" s="288">
        <f>+G58+G65+G69+G73+G77</f>
        <v>477446.5200000001</v>
      </c>
      <c r="H79" s="293"/>
      <c r="I79" s="285">
        <f>+I58+I65+I69+I73+I77</f>
        <v>15172.859</v>
      </c>
      <c r="J79" s="288">
        <f>+J58+J65+J69+J73+J77</f>
        <v>10189.465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431815.265</v>
      </c>
      <c r="P79" s="409">
        <f>+P58+P65+P69+P73+P77</f>
        <v>487635.985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406010.747</v>
      </c>
      <c r="G81" s="271">
        <f>+'Cash-Flow-2018-Leva'!G81/1000</f>
        <v>449303.85</v>
      </c>
      <c r="H81" s="293"/>
      <c r="I81" s="272">
        <f>+'Cash-Flow-2018-Leva'!I81/1000</f>
        <v>15738.43</v>
      </c>
      <c r="J81" s="271">
        <f>+'Cash-Flow-2018-Leva'!J81/1000</f>
        <v>9384.366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421749.17699999997</v>
      </c>
      <c r="P81" s="395">
        <f>+G81+J81+M81</f>
        <v>458688.21599999996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406010.747</v>
      </c>
      <c r="G83" s="286">
        <f>+G81+G82</f>
        <v>449303.85</v>
      </c>
      <c r="H83" s="293"/>
      <c r="I83" s="287">
        <f>+I81+I82</f>
        <v>15738.43</v>
      </c>
      <c r="J83" s="286">
        <f>+J81+J82</f>
        <v>9384.366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421749.17699999997</v>
      </c>
      <c r="P83" s="404">
        <f>+P81+P82</f>
        <v>458688.21599999996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27245.967999999877</v>
      </c>
      <c r="G85" s="307">
        <f>+G50-G79+G83</f>
        <v>10166.32899999991</v>
      </c>
      <c r="H85" s="293"/>
      <c r="I85" s="308">
        <f>+I50-I79+I83</f>
        <v>1245.5529999999999</v>
      </c>
      <c r="J85" s="307">
        <f>+J50-J79+J83</f>
        <v>-384.1810000000005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28491.52099999995</v>
      </c>
      <c r="P85" s="406">
        <f>+P50-P79+P83</f>
        <v>9782.147999999986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-27245.968</v>
      </c>
      <c r="G86" s="309">
        <f>+G103+G122+G129-G134</f>
        <v>-10166.329</v>
      </c>
      <c r="H86" s="293"/>
      <c r="I86" s="310">
        <f>+I103+I122+I129-I134</f>
        <v>-1245.553</v>
      </c>
      <c r="J86" s="309">
        <f>+J103+J122+J129-J134</f>
        <v>384.181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-28491.521000000004</v>
      </c>
      <c r="P86" s="408">
        <f>+P103+P122+P129-P134</f>
        <v>-9782.148000000003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-20000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-20000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-20000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-20000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-2223.113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-2223.113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556.667</v>
      </c>
      <c r="G94" s="283">
        <f>+'Cash-Flow-2018-Leva'!G94/1000</f>
        <v>777.778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556.667</v>
      </c>
      <c r="P94" s="401">
        <f t="shared" si="7"/>
        <v>777.778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-1666.446</v>
      </c>
      <c r="G97" s="251">
        <f>+SUM(G93:G96)</f>
        <v>777.778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-1666.446</v>
      </c>
      <c r="P97" s="380">
        <f>+SUM(P93:P96)</f>
        <v>777.778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37.081</v>
      </c>
      <c r="G100" s="283">
        <f>+'Cash-Flow-2018-Leva'!G100/1000</f>
        <v>-34.753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37.081</v>
      </c>
      <c r="P100" s="401">
        <f>+G100+J100+M100</f>
        <v>-34.753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37.081</v>
      </c>
      <c r="G101" s="251">
        <f>+SUM(G99:G100)</f>
        <v>-34.753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37.081</v>
      </c>
      <c r="P101" s="380">
        <f>+SUM(P99:P100)</f>
        <v>-34.753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-21629.365</v>
      </c>
      <c r="G103" s="273">
        <f>+G91+G97+G101</f>
        <v>743.025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-21629.365</v>
      </c>
      <c r="P103" s="397">
        <f>+P91+P97+P101</f>
        <v>743.025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-5510.359</v>
      </c>
      <c r="G111" s="283">
        <f>+'Cash-Flow-2018-Leva'!G111/1000</f>
        <v>-10782.957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-5510.359</v>
      </c>
      <c r="P111" s="401">
        <f>+G111+J111+M111</f>
        <v>-10782.957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-5510.359</v>
      </c>
      <c r="G112" s="277">
        <f>+SUM(G110:G111)</f>
        <v>-10782.957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-5510.359</v>
      </c>
      <c r="P112" s="399">
        <f>+SUM(P110:P111)</f>
        <v>-10782.957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-20.109</v>
      </c>
      <c r="G118" s="244">
        <f>+'Cash-Flow-2018-Leva'!G118/1000</f>
        <v>-36.601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-957.986</v>
      </c>
      <c r="M118" s="244">
        <f>+'Cash-Flow-2018-Leva'!M118/1000</f>
        <v>781.519</v>
      </c>
      <c r="N118" s="483"/>
      <c r="O118" s="383">
        <f>+F118+I118+L118</f>
        <v>-978.095</v>
      </c>
      <c r="P118" s="376">
        <f>+G118+J118+M118</f>
        <v>744.918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0.195</v>
      </c>
      <c r="G119" s="283">
        <f>+'Cash-Flow-2018-Leva'!G119/1000</f>
        <v>5.096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0.195</v>
      </c>
      <c r="P119" s="401">
        <f>+G119+J119+M119</f>
        <v>5.096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-19.914</v>
      </c>
      <c r="G120" s="277">
        <f>+SUM(G118:G119)</f>
        <v>-31.505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-957.986</v>
      </c>
      <c r="M120" s="277">
        <f>+SUM(M118:M119)</f>
        <v>781.519</v>
      </c>
      <c r="N120" s="483"/>
      <c r="O120" s="398">
        <f>+SUM(O118:O119)</f>
        <v>-977.9</v>
      </c>
      <c r="P120" s="399">
        <f>+SUM(P118:P119)</f>
        <v>750.014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-5530.273</v>
      </c>
      <c r="G122" s="288">
        <f>+G108+G112+G116+G120</f>
        <v>-10814.462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-957.986</v>
      </c>
      <c r="M122" s="288">
        <f>+M108+M112+M116+M120</f>
        <v>781.519</v>
      </c>
      <c r="N122" s="483"/>
      <c r="O122" s="402">
        <f>+O108+O112+O116+O120</f>
        <v>-6488.259</v>
      </c>
      <c r="P122" s="409">
        <f>+P108+P112+P116+P120</f>
        <v>-10032.943000000001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1243.808</v>
      </c>
      <c r="G125" s="283">
        <f>+'Cash-Flow-2018-Leva'!G125/1000</f>
        <v>-362.092</v>
      </c>
      <c r="H125" s="293"/>
      <c r="I125" s="284">
        <f>+'Cash-Flow-2018-Leva'!I125/1000</f>
        <v>-1259.125</v>
      </c>
      <c r="J125" s="283">
        <f>+'Cash-Flow-2018-Leva'!J125/1000</f>
        <v>355.019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-15.317000000000007</v>
      </c>
      <c r="P125" s="401">
        <f t="shared" si="8"/>
        <v>-7.072999999999979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-632.609</v>
      </c>
      <c r="G126" s="283">
        <f>+'Cash-Flow-2018-Leva'!G126/1000</f>
        <v>-52.423</v>
      </c>
      <c r="H126" s="293"/>
      <c r="I126" s="284">
        <f>+'Cash-Flow-2018-Leva'!I126/1000</f>
        <v>13.572</v>
      </c>
      <c r="J126" s="283">
        <f>+'Cash-Flow-2018-Leva'!J126/1000</f>
        <v>52.423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-619.037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611.199</v>
      </c>
      <c r="G129" s="286">
        <f>+SUM(G124,G125,G126,G128)</f>
        <v>-414.515</v>
      </c>
      <c r="H129" s="293"/>
      <c r="I129" s="287">
        <f>+SUM(I124,I125,I126,I128)</f>
        <v>-1245.553</v>
      </c>
      <c r="J129" s="286">
        <f>+SUM(J124,J125,J126,J128)</f>
        <v>407.442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-634.354</v>
      </c>
      <c r="P129" s="404">
        <f>+SUM(P124,P125,P126,P128)</f>
        <v>-7.072999999999979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2861.044</v>
      </c>
      <c r="G131" s="271">
        <f>+'Cash-Flow-2018-Leva'!G131/1000</f>
        <v>3214.939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2364.139</v>
      </c>
      <c r="M131" s="271">
        <f>+'Cash-Flow-2018-Leva'!M131/1000</f>
        <v>1582.619</v>
      </c>
      <c r="N131" s="483"/>
      <c r="O131" s="382">
        <f aca="true" t="shared" si="9" ref="O131:P133">+F131+I131+L131</f>
        <v>5225.183</v>
      </c>
      <c r="P131" s="395">
        <f t="shared" si="9"/>
        <v>4797.558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19.035</v>
      </c>
      <c r="G132" s="283">
        <f>+'Cash-Flow-2018-Leva'!G132/1000</f>
        <v>-34.273</v>
      </c>
      <c r="H132" s="293"/>
      <c r="I132" s="284">
        <f>+'Cash-Flow-2018-Leva'!I132/1000</f>
        <v>0</v>
      </c>
      <c r="J132" s="283">
        <f>+'Cash-Flow-2018-Leva'!J132/1000</f>
        <v>-23.261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19.035</v>
      </c>
      <c r="P132" s="401">
        <f t="shared" si="9"/>
        <v>-57.534000000000006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3577.608</v>
      </c>
      <c r="G133" s="283">
        <f>+'Cash-Flow-2018-Leva'!G133/1000</f>
        <v>2861.043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1406.153</v>
      </c>
      <c r="M133" s="283">
        <f>+'Cash-Flow-2018-Leva'!M133/1000</f>
        <v>2364.138</v>
      </c>
      <c r="N133" s="483"/>
      <c r="O133" s="378">
        <f t="shared" si="9"/>
        <v>4983.761</v>
      </c>
      <c r="P133" s="401">
        <f t="shared" si="9"/>
        <v>5225.1810000000005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697.5290000000003</v>
      </c>
      <c r="G134" s="291">
        <f>+G133-G131-G132</f>
        <v>-319.6229999999997</v>
      </c>
      <c r="H134" s="293"/>
      <c r="I134" s="292">
        <f>+I133-I131-I132</f>
        <v>0</v>
      </c>
      <c r="J134" s="291">
        <f>+J133-J131-J132</f>
        <v>23.261</v>
      </c>
      <c r="K134" s="293"/>
      <c r="L134" s="292">
        <f>+L133-L131-L132</f>
        <v>-957.9860000000001</v>
      </c>
      <c r="M134" s="291">
        <f>+M133-M131-M132</f>
        <v>781.519</v>
      </c>
      <c r="N134" s="483"/>
      <c r="O134" s="411">
        <f>+O133-O131-O132</f>
        <v>-260.4569999999996</v>
      </c>
      <c r="P134" s="412">
        <f>+P133-P131-P132</f>
        <v>485.1570000000005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10122018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Iasen Stefanov</cp:lastModifiedBy>
  <cp:lastPrinted>2018-01-03T17:05:49Z</cp:lastPrinted>
  <dcterms:created xsi:type="dcterms:W3CDTF">2015-12-01T07:17:04Z</dcterms:created>
  <dcterms:modified xsi:type="dcterms:W3CDTF">2018-12-10T14:41:29Z</dcterms:modified>
  <cp:category/>
  <cp:version/>
  <cp:contentType/>
  <cp:contentStatus/>
</cp:coreProperties>
</file>