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<sst xmlns="http://schemas.openxmlformats.org/spreadsheetml/2006/main" count="547" uniqueCount="376">
  <si>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</si>
  <si>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</si>
  <si>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</si>
  <si>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</si>
  <si>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</si>
  <si>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</si>
  <si>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</si>
  <si>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</si>
  <si>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</si>
  <si>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</si>
  <si>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</si>
  <si>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</si>
  <si>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</si>
  <si>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</si>
  <si>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</si>
  <si>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</si>
  <si>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</si>
  <si>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</si>
  <si>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</si>
  <si>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</si>
  <si>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</si>
  <si>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</si>
  <si>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</si>
  <si>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</si>
  <si>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</si>
  <si>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</si>
  <si>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</si>
  <si>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</si>
  <si>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</si>
  <si>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</si>
  <si>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</si>
  <si>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</si>
  <si>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</si>
  <si>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</si>
  <si>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</si>
  <si>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</si>
  <si>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</si>
  <si>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</si>
  <si>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</si>
  <si>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</si>
  <si>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</si>
  <si>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</si>
  <si>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</si>
  <si>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</si>
  <si>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</si>
  <si>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</si>
  <si>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</si>
  <si>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</si>
  <si>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</si>
  <si>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</si>
  <si>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</si>
  <si>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</si>
  <si>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</si>
  <si>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</si>
  <si>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</si>
  <si>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</si>
  <si>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</si>
  <si>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</si>
  <si>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</si>
  <si>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</si>
  <si>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</si>
  <si>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</si>
  <si>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</si>
  <si>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</si>
  <si>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</si>
  <si>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</si>
  <si>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</si>
  <si>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</si>
  <si>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</si>
  <si>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</si>
  <si>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</si>
  <si>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</si>
  <si>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</si>
  <si>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</si>
  <si>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</si>
  <si>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</si>
  <si>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</si>
  <si>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</si>
  <si>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</si>
  <si>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</si>
  <si>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</si>
  <si>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</si>
  <si>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</si>
  <si>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</si>
  <si>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</si>
  <si>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</si>
  <si>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</si>
  <si>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</si>
  <si>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</si>
  <si>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</si>
  <si>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</si>
  <si>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</si>
  <si>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</si>
  <si>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</si>
  <si>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</si>
  <si>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</si>
  <si>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</si>
  <si>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</si>
  <si>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</si>
  <si>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</si>
  <si>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</si>
  <si>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</si>
  <si>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</si>
  <si>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</si>
  <si>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</si>
  <si>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</si>
  <si>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</si>
  <si>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</si>
  <si>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</si>
  <si>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</si>
  <si>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</si>
  <si>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</si>
  <si>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</si>
  <si>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</si>
  <si>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</si>
  <si>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</si>
  <si>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</si>
  <si>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</si>
  <si>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</si>
  <si>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</si>
  <si>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</si>
  <si>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</si>
  <si>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</si>
  <si>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</si>
  <si>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</si>
  <si>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</si>
  <si>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</si>
  <si>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</si>
  <si>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</si>
  <si>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</si>
  <si>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</si>
  <si>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</si>
  <si>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</si>
  <si>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</si>
  <si>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</si>
  <si>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</si>
  <si>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</si>
  <si>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</si>
  <si>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</si>
  <si>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</si>
  <si>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</si>
  <si>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</si>
  <si>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</si>
  <si>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</si>
  <si>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</si>
  <si>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</si>
  <si>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</si>
  <si>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</si>
  <si>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</si>
  <si>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</si>
  <si>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</si>
  <si>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</si>
  <si>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</si>
  <si>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</si>
  <si>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</si>
  <si>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</si>
  <si>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</si>
  <si>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</si>
  <si>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</si>
  <si>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</si>
  <si>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</si>
  <si>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</si>
  <si>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</si>
  <si>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</si>
  <si>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</si>
  <si>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</si>
  <si>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</si>
  <si>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</si>
  <si>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</si>
  <si>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</si>
  <si>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</si>
  <si>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</si>
  <si>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</si>
  <si>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</si>
  <si>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</si>
  <si>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</si>
  <si>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</si>
  <si>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</si>
  <si>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</si>
  <si>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</si>
  <si>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</si>
  <si>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</si>
  <si>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</si>
  <si>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</si>
  <si>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</si>
  <si>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</si>
  <si>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</si>
  <si>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</si>
  <si>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</si>
  <si>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</si>
  <si>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</si>
  <si>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</si>
  <si>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</si>
  <si>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</si>
  <si>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</si>
  <si>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</si>
  <si>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</si>
  <si>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</si>
  <si>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</si>
  <si>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</si>
  <si>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</si>
  <si>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</si>
  <si>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</si>
  <si>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</si>
  <si>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</si>
  <si>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</si>
  <si>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</si>
  <si>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</si>
  <si>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</si>
  <si>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</si>
  <si>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</si>
  <si>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</si>
  <si>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</si>
  <si>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</si>
  <si>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</si>
  <si>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</si>
  <si>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</si>
  <si>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</si>
  <si>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</si>
  <si>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</si>
  <si>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</si>
  <si>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</si>
  <si>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</si>
  <si>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</si>
  <si>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</si>
  <si>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</si>
  <si>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</si>
  <si>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</si>
  <si>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</si>
  <si>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</si>
  <si>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</si>
  <si>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</si>
  <si>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</si>
  <si>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</si>
  <si>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</si>
  <si>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</si>
  <si>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</si>
  <si>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</si>
  <si>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</si>
  <si>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</si>
  <si>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</si>
  <si>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</si>
  <si>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</si>
  <si>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</si>
  <si>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</si>
  <si>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</si>
  <si>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</si>
  <si>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</si>
  <si>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</si>
  <si>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</si>
  <si>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</si>
  <si>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</si>
  <si>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</si>
  <si>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</si>
  <si>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</si>
  <si>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</si>
  <si>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</si>
  <si>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</si>
  <si>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</si>
  <si>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</si>
  <si>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</si>
  <si>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</si>
  <si>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</si>
  <si>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</si>
  <si>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</si>
  <si>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</si>
  <si>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</si>
  <si>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</si>
  <si>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</si>
  <si>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</si>
  <si>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</si>
  <si>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</si>
  <si>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</si>
  <si>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</si>
  <si>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</si>
  <si>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</si>
  <si>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</si>
  <si>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</si>
  <si>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</si>
  <si>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</si>
  <si>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</si>
  <si>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</si>
  <si>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</si>
  <si>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</si>
  <si>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</si>
  <si>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</si>
  <si>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</si>
  <si>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</si>
  <si>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</si>
  <si>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</si>
  <si>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</si>
  <si>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</si>
  <si>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</si>
  <si>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</si>
  <si>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</si>
  <si>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</si>
  <si>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</si>
  <si>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</si>
  <si>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</si>
  <si>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</si>
  <si>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</si>
  <si>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</si>
  <si>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</si>
  <si>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</si>
  <si>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</si>
  <si>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</si>
  <si>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</si>
  <si>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</si>
  <si>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</si>
  <si>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</si>
  <si>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</si>
  <si>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</si>
  <si>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</si>
  <si>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</si>
  <si>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</si>
  <si>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</si>
  <si>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</si>
  <si>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</si>
  <si>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</si>
  <si>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</si>
  <si>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</si>
  <si>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</si>
  <si>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</si>
  <si>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</si>
  <si>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</si>
  <si>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</si>
  <si>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</si>
  <si>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</si>
  <si>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</si>
  <si>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</si>
  <si>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</si>
  <si>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</si>
  <si>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</si>
  <si>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</si>
  <si>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</si>
  <si>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</si>
  <si>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</si>
  <si>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</si>
  <si>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</si>
  <si>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</si>
  <si>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</si>
  <si>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</si>
  <si>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</si>
  <si>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</si>
  <si>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</si>
  <si>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</si>
  <si>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</si>
  <si>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</si>
  <si>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</si>
  <si>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</si>
  <si>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</si>
  <si>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</si>
  <si>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</si>
  <si>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</si>
  <si>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</si>
  <si>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</si>
  <si>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</si>
  <si>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</si>
  <si>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</si>
  <si>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</si>
  <si>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</si>
  <si>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</si>
  <si>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</si>
  <si>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</si>
  <si>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</si>
  <si>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</si>
  <si>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</si>
  <si>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</si>
  <si>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</si>
  <si>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</si>
  <si>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</si>
  <si>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</si>
  <si>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</si>
  <si>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МИНИСТЕРСТВО НА ЗДРАВЕОПАЗВАНТО</t>
  </si>
  <si>
    <t>Росица Иванова</t>
  </si>
  <si>
    <t>Кирил Ананиев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</si>
</sst>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 locked="0"/>
    </xf>
    <xf numFmtId="186" fontId="184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7" fillId="36" borderId="47" xfId="53" applyFont="1" applyFill="1" applyBorder="1" applyAlignment="1" applyProtection="1">
      <alignment horizontal="center" vertical="center"/>
      <protection locked="0"/>
    </xf>
    <xf numFmtId="0" fontId="187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8" fillId="33" borderId="47" xfId="53" applyNumberFormat="1" applyFont="1" applyFill="1" applyBorder="1" applyAlignment="1" applyProtection="1">
      <alignment horizontal="center" vertical="center"/>
      <protection locked="0"/>
    </xf>
    <xf numFmtId="38" fontId="188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9" fillId="32" borderId="49" xfId="57" applyFont="1" applyFill="1" applyBorder="1" applyAlignment="1" applyProtection="1" quotePrefix="1">
      <alignment horizontal="center"/>
      <protection/>
    </xf>
    <xf numFmtId="0" fontId="190" fillId="38" borderId="30" xfId="63" applyFont="1" applyFill="1" applyBorder="1" applyAlignment="1" applyProtection="1">
      <alignment horizontal="center" vertical="center" wrapText="1"/>
      <protection locked="0"/>
    </xf>
    <xf numFmtId="0" fontId="190" fillId="38" borderId="19" xfId="63" applyFont="1" applyFill="1" applyBorder="1" applyAlignment="1" applyProtection="1">
      <alignment horizontal="center" vertical="center" wrapText="1"/>
      <protection locked="0"/>
    </xf>
    <xf numFmtId="0" fontId="190" fillId="38" borderId="20" xfId="63" applyFont="1" applyFill="1" applyBorder="1" applyAlignment="1" applyProtection="1">
      <alignment horizontal="center" vertical="center" wrapText="1"/>
      <protection locked="0"/>
    </xf>
    <xf numFmtId="0" fontId="191" fillId="33" borderId="65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9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1" fillId="33" borderId="119" xfId="61" applyFont="1" applyFill="1" applyBorder="1" applyAlignment="1" applyProtection="1">
      <alignment horizontal="center"/>
      <protection/>
    </xf>
    <xf numFmtId="0" fontId="191" fillId="33" borderId="126" xfId="6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/>
    </xf>
    <xf numFmtId="186" fontId="184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6" sqref="M14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/>
      <c r="J1" s="655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МИНИСТЕРСТВО НА ЗДРАВЕОПАЗВАНТО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295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14219669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14219669</v>
      </c>
      <c r="P16" s="401">
        <f t="shared" si="0"/>
        <v>28913336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868589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868589</v>
      </c>
      <c r="P18" s="395">
        <f t="shared" si="0"/>
        <v>1288406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2704272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2704272</v>
      </c>
      <c r="P19" s="429">
        <f t="shared" si="0"/>
        <v>4670919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152567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152567</v>
      </c>
      <c r="P20" s="429">
        <f t="shared" si="0"/>
        <v>358521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176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176</v>
      </c>
      <c r="P22" s="429">
        <f t="shared" si="0"/>
        <v>6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32295</v>
      </c>
      <c r="G24" s="249">
        <v>34773</v>
      </c>
      <c r="H24" s="15"/>
      <c r="I24" s="250"/>
      <c r="J24" s="249">
        <v>-111</v>
      </c>
      <c r="K24" s="243"/>
      <c r="L24" s="250"/>
      <c r="M24" s="249"/>
      <c r="N24" s="243"/>
      <c r="O24" s="378">
        <f t="shared" si="0"/>
        <v>32295</v>
      </c>
      <c r="P24" s="401">
        <f t="shared" si="0"/>
        <v>34662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17977568</v>
      </c>
      <c r="G25" s="251">
        <f>+ROUND(+SUM(G15,G16,G18,G19,G20,G21,G22,G23,G24),0)</f>
        <v>35265961</v>
      </c>
      <c r="H25" s="15"/>
      <c r="I25" s="252">
        <f>+ROUND(+SUM(I15,I16,I18,I19,I20,I21,I22,I23,I24),0)</f>
        <v>0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17977568</v>
      </c>
      <c r="P25" s="380">
        <f>+ROUND(+SUM(P15,P16,P18,P19,P20,P21,P22,P23,P24),0)</f>
        <v>35265850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9887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9887</v>
      </c>
      <c r="P28" s="429">
        <f t="shared" si="1"/>
        <v>10006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9887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9887</v>
      </c>
      <c r="P30" s="380">
        <f>+ROUND(+SUM(P27:P29),0)</f>
        <v>10006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-297624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-297624</v>
      </c>
      <c r="P37" s="380">
        <f t="shared" si="2"/>
        <v>-356331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-2728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-2728</v>
      </c>
      <c r="P38" s="430">
        <f t="shared" si="2"/>
        <v>-6882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-29966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-29966</v>
      </c>
      <c r="P39" s="431">
        <f t="shared" si="2"/>
        <v>-61361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10408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10408</v>
      </c>
      <c r="P42" s="380">
        <f>+ROUND(+G42+J42+M42,0)</f>
        <v>19978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1503</v>
      </c>
      <c r="P44" s="395">
        <f t="shared" si="3"/>
        <v>1647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1643329</v>
      </c>
      <c r="G45" s="247">
        <v>3022082</v>
      </c>
      <c r="H45" s="15"/>
      <c r="I45" s="248">
        <v>358387</v>
      </c>
      <c r="J45" s="247">
        <v>246229</v>
      </c>
      <c r="K45" s="243"/>
      <c r="L45" s="248"/>
      <c r="M45" s="247"/>
      <c r="N45" s="243"/>
      <c r="O45" s="377">
        <f t="shared" si="3"/>
        <v>2001716</v>
      </c>
      <c r="P45" s="429">
        <f t="shared" si="3"/>
        <v>3268311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>
        <v>73628</v>
      </c>
      <c r="J46" s="247">
        <v>174800</v>
      </c>
      <c r="K46" s="243"/>
      <c r="L46" s="248"/>
      <c r="M46" s="247"/>
      <c r="N46" s="243"/>
      <c r="O46" s="377">
        <f t="shared" si="3"/>
        <v>73628</v>
      </c>
      <c r="P46" s="429">
        <f t="shared" si="3"/>
        <v>174800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41772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41772</v>
      </c>
      <c r="P47" s="401">
        <f t="shared" si="3"/>
        <v>345656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1686604</v>
      </c>
      <c r="G48" s="251">
        <f>+ROUND(+SUM(G44:G47),0)</f>
        <v>3369385</v>
      </c>
      <c r="H48" s="15"/>
      <c r="I48" s="252">
        <f>+ROUND(+SUM(I44:I47),0)</f>
        <v>432015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2118619</v>
      </c>
      <c r="P48" s="380">
        <f>+ROUND(+SUM(P44:P47),0)</f>
        <v>3790414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19386843</v>
      </c>
      <c r="G50" s="273">
        <f>+ROUND(G25+G30+G37+G42+G48,0)</f>
        <v>38308999</v>
      </c>
      <c r="H50" s="15"/>
      <c r="I50" s="274">
        <f>+ROUND(I25+I30+I37+I42+I48,0)</f>
        <v>432015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19818858</v>
      </c>
      <c r="P50" s="397">
        <f>+ROUND(P25+P30+P37+P42+P48,0)</f>
        <v>38729917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46068344</v>
      </c>
      <c r="G53" s="275">
        <v>131151643</v>
      </c>
      <c r="H53" s="15"/>
      <c r="I53" s="276">
        <v>186660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46255004</v>
      </c>
      <c r="P53" s="376">
        <f t="shared" si="4"/>
        <v>133736623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684023</v>
      </c>
      <c r="G54" s="249">
        <v>1470209</v>
      </c>
      <c r="H54" s="15"/>
      <c r="I54" s="250">
        <v>415</v>
      </c>
      <c r="J54" s="249">
        <v>318</v>
      </c>
      <c r="K54" s="243"/>
      <c r="L54" s="250"/>
      <c r="M54" s="249"/>
      <c r="N54" s="243"/>
      <c r="O54" s="378">
        <f t="shared" si="4"/>
        <v>684438</v>
      </c>
      <c r="P54" s="401">
        <f t="shared" si="4"/>
        <v>1470527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1661370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1661370</v>
      </c>
      <c r="P55" s="401">
        <f t="shared" si="4"/>
        <v>810187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87108071</v>
      </c>
      <c r="G56" s="249">
        <v>172740778</v>
      </c>
      <c r="H56" s="15"/>
      <c r="I56" s="250">
        <v>210321</v>
      </c>
      <c r="J56" s="249">
        <v>635846</v>
      </c>
      <c r="K56" s="243"/>
      <c r="L56" s="250"/>
      <c r="M56" s="249"/>
      <c r="N56" s="243"/>
      <c r="O56" s="378">
        <f t="shared" si="4"/>
        <v>87318392</v>
      </c>
      <c r="P56" s="401">
        <f t="shared" si="4"/>
        <v>173376624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17662268</v>
      </c>
      <c r="G57" s="249">
        <v>33803767</v>
      </c>
      <c r="H57" s="15"/>
      <c r="I57" s="250">
        <v>9886</v>
      </c>
      <c r="J57" s="249">
        <v>52551</v>
      </c>
      <c r="K57" s="243"/>
      <c r="L57" s="250"/>
      <c r="M57" s="249"/>
      <c r="N57" s="243"/>
      <c r="O57" s="378">
        <f t="shared" si="4"/>
        <v>17672154</v>
      </c>
      <c r="P57" s="401">
        <f t="shared" si="4"/>
        <v>33856318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153184076</v>
      </c>
      <c r="G58" s="277">
        <f>+ROUND(+SUM(G53:G57),0)</f>
        <v>339976584</v>
      </c>
      <c r="H58" s="15"/>
      <c r="I58" s="278">
        <f>+ROUND(+SUM(I53:I57),0)</f>
        <v>407282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153591358</v>
      </c>
      <c r="P58" s="399">
        <f>+ROUND(+SUM(P53:P57),0)</f>
        <v>343250279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217502</v>
      </c>
      <c r="G61" s="249">
        <v>914401</v>
      </c>
      <c r="H61" s="15"/>
      <c r="I61" s="250">
        <v>163954</v>
      </c>
      <c r="J61" s="249">
        <v>6498745</v>
      </c>
      <c r="K61" s="243"/>
      <c r="L61" s="250"/>
      <c r="M61" s="249"/>
      <c r="N61" s="243"/>
      <c r="O61" s="378">
        <f t="shared" si="5"/>
        <v>381456</v>
      </c>
      <c r="P61" s="401">
        <f t="shared" si="5"/>
        <v>7413146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421</v>
      </c>
      <c r="G62" s="249">
        <v>287102</v>
      </c>
      <c r="H62" s="15"/>
      <c r="I62" s="250">
        <v>700</v>
      </c>
      <c r="J62" s="249">
        <v>72336</v>
      </c>
      <c r="K62" s="243"/>
      <c r="L62" s="250"/>
      <c r="M62" s="249"/>
      <c r="N62" s="243"/>
      <c r="O62" s="378">
        <f t="shared" si="5"/>
        <v>1121</v>
      </c>
      <c r="P62" s="401">
        <f t="shared" si="5"/>
        <v>359438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217923</v>
      </c>
      <c r="G65" s="277">
        <f>+ROUND(+SUM(G60:G63),0)</f>
        <v>1201503</v>
      </c>
      <c r="H65" s="15"/>
      <c r="I65" s="278">
        <f>+ROUND(+SUM(I60:I63),0)</f>
        <v>164654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382577</v>
      </c>
      <c r="P65" s="399">
        <f>+ROUND(+SUM(P60:P63),0)</f>
        <v>7772584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>
        <v>18923</v>
      </c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18923</v>
      </c>
      <c r="P67" s="376">
        <f>+ROUND(+G67+J67+M67,0)</f>
        <v>62911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1895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1895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20818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20818</v>
      </c>
      <c r="P69" s="399">
        <f>+ROUND(+SUM(P67:P68),0)</f>
        <v>62911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9174067</v>
      </c>
      <c r="G71" s="275">
        <v>23324279</v>
      </c>
      <c r="H71" s="15"/>
      <c r="I71" s="276">
        <v>124618</v>
      </c>
      <c r="J71" s="275">
        <v>344689</v>
      </c>
      <c r="K71" s="243"/>
      <c r="L71" s="276"/>
      <c r="M71" s="275"/>
      <c r="N71" s="243"/>
      <c r="O71" s="383">
        <f>+ROUND(+F71+I71+L71,0)</f>
        <v>9298685</v>
      </c>
      <c r="P71" s="376">
        <f>+ROUND(+G71+J71+M71,0)</f>
        <v>23668968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9174067</v>
      </c>
      <c r="G73" s="277">
        <f>+ROUND(+SUM(G71:G72),0)</f>
        <v>23324279</v>
      </c>
      <c r="H73" s="15"/>
      <c r="I73" s="278">
        <f>+ROUND(+SUM(I71:I72),0)</f>
        <v>124618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9298685</v>
      </c>
      <c r="P73" s="399">
        <f>+ROUND(+SUM(P71:P72),0)</f>
        <v>23668968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45366548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45366548</v>
      </c>
      <c r="P75" s="376">
        <f>+ROUND(+G75+J75+M75,0)</f>
        <v>101270914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549518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549518</v>
      </c>
      <c r="P76" s="401">
        <f>+ROUND(+G76+J76+M76,0)</f>
        <v>11610329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45916066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45916066</v>
      </c>
      <c r="P77" s="399">
        <f>+ROUND(+SUM(P75:P76),0)</f>
        <v>112881243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208512950</v>
      </c>
      <c r="G79" s="288">
        <f>+ROUND(G58+G65+G69+G73+G77,0)</f>
        <v>477446520</v>
      </c>
      <c r="H79" s="15"/>
      <c r="I79" s="285">
        <f>+ROUND(I58+I65+I69+I73+I77,0)</f>
        <v>696554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209209504</v>
      </c>
      <c r="P79" s="409">
        <f>+ROUND(P58+P65+P69+P73+P77,0)</f>
        <v>487635985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196388616</v>
      </c>
      <c r="G81" s="245">
        <v>449303850</v>
      </c>
      <c r="H81" s="15"/>
      <c r="I81" s="246">
        <v>1668341</v>
      </c>
      <c r="J81" s="245">
        <v>9384366</v>
      </c>
      <c r="K81" s="243"/>
      <c r="L81" s="246"/>
      <c r="M81" s="245"/>
      <c r="N81" s="243"/>
      <c r="O81" s="382">
        <f>+ROUND(+F81+I81+L81,0)</f>
        <v>198056957</v>
      </c>
      <c r="P81" s="395">
        <f>+ROUND(+G81+J81+M81,0)</f>
        <v>458688216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196388616</v>
      </c>
      <c r="G83" s="286">
        <f>+ROUND(G81+G82,0)</f>
        <v>449303850</v>
      </c>
      <c r="H83" s="15"/>
      <c r="I83" s="287">
        <f>+ROUND(I81+I82,0)</f>
        <v>1668341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198056957</v>
      </c>
      <c r="P83" s="404">
        <f>+ROUND(P81+P82,0)</f>
        <v>458688216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7262509</v>
      </c>
      <c r="G85" s="307">
        <f>+ROUND(G50,0)-ROUND(G79,0)+ROUND(G83,0)</f>
        <v>10166329</v>
      </c>
      <c r="H85" s="15"/>
      <c r="I85" s="308">
        <f>+ROUND(I50,0)-ROUND(I79,0)+ROUND(I83,0)</f>
        <v>1403802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8666311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-7262509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-1403802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-8666311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-2223113</v>
      </c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-2223113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290741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290741</v>
      </c>
      <c r="P94" s="401">
        <f t="shared" si="6"/>
        <v>777778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-1932372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-1932372</v>
      </c>
      <c r="P97" s="380">
        <f>+ROUND(+SUM(P93:P96),0)</f>
        <v>777778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-1895291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-1895291</v>
      </c>
      <c r="P103" s="397">
        <f>+ROUND(P91+P97+P101,0)</f>
        <v>743025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-5510359</v>
      </c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-5510359</v>
      </c>
      <c r="P111" s="401">
        <f>+ROUND(+G111+J111+M111,0)</f>
        <v>-10782957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-5510359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-5510359</v>
      </c>
      <c r="P112" s="399">
        <f>+ROUND(+SUM(P110:P111),0)</f>
        <v>-10782957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-42344</v>
      </c>
      <c r="G118" s="275">
        <v>-36601</v>
      </c>
      <c r="H118" s="15"/>
      <c r="I118" s="276"/>
      <c r="J118" s="275"/>
      <c r="K118" s="243"/>
      <c r="L118" s="276">
        <v>-834206</v>
      </c>
      <c r="M118" s="275">
        <v>781519</v>
      </c>
      <c r="N118" s="243"/>
      <c r="O118" s="383">
        <f>+ROUND(+F118+I118+L118,0)</f>
        <v>-876550</v>
      </c>
      <c r="P118" s="376">
        <f>+ROUND(+G118+J118+M118,0)</f>
        <v>744918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-42149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-834206</v>
      </c>
      <c r="M120" s="277">
        <f>+ROUND(+SUM(M118:M119),0)</f>
        <v>781519</v>
      </c>
      <c r="N120" s="243"/>
      <c r="O120" s="398">
        <f>+ROUND(+SUM(O118:O119),0)</f>
        <v>-876355</v>
      </c>
      <c r="P120" s="399">
        <f>+ROUND(+SUM(P118:P119),0)</f>
        <v>750014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-5552508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-834206</v>
      </c>
      <c r="M122" s="288">
        <f>+ROUND(M108+M112+M116+M120,0)</f>
        <v>781519</v>
      </c>
      <c r="N122" s="243"/>
      <c r="O122" s="402">
        <f>+ROUND(O108+O112+O116+O120,0)</f>
        <v>-6386714</v>
      </c>
      <c r="P122" s="409">
        <f>+ROUND(P108+P112+P116+P120,0)</f>
        <v>-10032943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1387272</v>
      </c>
      <c r="G125" s="249">
        <v>-362092</v>
      </c>
      <c r="H125" s="15"/>
      <c r="I125" s="250">
        <v>-1398930</v>
      </c>
      <c r="J125" s="249">
        <v>355019</v>
      </c>
      <c r="K125" s="243"/>
      <c r="L125" s="250"/>
      <c r="M125" s="249"/>
      <c r="N125" s="243"/>
      <c r="O125" s="378">
        <f t="shared" si="7"/>
        <v>-11658</v>
      </c>
      <c r="P125" s="401">
        <f t="shared" si="7"/>
        <v>-7073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-665432</v>
      </c>
      <c r="G126" s="249">
        <v>-52423</v>
      </c>
      <c r="H126" s="15"/>
      <c r="I126" s="250">
        <v>-4872</v>
      </c>
      <c r="J126" s="249">
        <v>52423</v>
      </c>
      <c r="K126" s="243"/>
      <c r="L126" s="250"/>
      <c r="M126" s="249"/>
      <c r="N126" s="243"/>
      <c r="O126" s="378">
        <f t="shared" si="7"/>
        <v>-670304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721840</v>
      </c>
      <c r="G129" s="286">
        <f>+ROUND(+SUM(G124,G125,G126,G128),0)</f>
        <v>-414515</v>
      </c>
      <c r="H129" s="15"/>
      <c r="I129" s="287">
        <f>+ROUND(+SUM(I124,I125,I126,I128),0)</f>
        <v>-1403802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-681962</v>
      </c>
      <c r="P129" s="404">
        <f>+ROUND(+SUM(P124,P125,P126,P128),0)</f>
        <v>-7073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10794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10794</v>
      </c>
      <c r="P132" s="401">
        <f t="shared" si="8"/>
        <v>-57534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3408388</v>
      </c>
      <c r="G133" s="249">
        <v>2861043</v>
      </c>
      <c r="H133" s="15"/>
      <c r="I133" s="250"/>
      <c r="J133" s="249"/>
      <c r="K133" s="243"/>
      <c r="L133" s="250">
        <v>1529933</v>
      </c>
      <c r="M133" s="249">
        <v>2364138</v>
      </c>
      <c r="N133" s="243"/>
      <c r="O133" s="378">
        <f t="shared" si="8"/>
        <v>4938321</v>
      </c>
      <c r="P133" s="401">
        <f t="shared" si="8"/>
        <v>5225181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536550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-834206</v>
      </c>
      <c r="M134" s="291">
        <f>+ROUND(+M133-M131-M132,0)</f>
        <v>781519</v>
      </c>
      <c r="N134" s="243"/>
      <c r="O134" s="411">
        <f>+ROUND(+O133-O131-O132,0)</f>
        <v>-297656</v>
      </c>
      <c r="P134" s="412">
        <f>+ROUND(+P133-P131-P132,0)</f>
        <v>485157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24072018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МИНИСТЕРСТВО НА ЗДРАВЕОПАЗВАНТО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0</v>
      </c>
      <c r="J1" s="689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МИНИСТЕРСТВО НА ЗДРАВЕОПАЗВАНТО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14219.669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14219.669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868.589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868.589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2704.272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2704.272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152.567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152.567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0.176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0.176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32.295</v>
      </c>
      <c r="G24" s="283">
        <f>+'Cash-Flow-2018-Leva'!G24/1000</f>
        <v>34.773</v>
      </c>
      <c r="H24" s="293"/>
      <c r="I24" s="284">
        <f>+'Cash-Flow-2018-Leva'!I24/1000</f>
        <v>0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32.295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17977.567999999996</v>
      </c>
      <c r="G25" s="251">
        <f>+SUM(G15,G16,G18,G19,G20,G21,G22,G23,G24)</f>
        <v>35265.961</v>
      </c>
      <c r="H25" s="293"/>
      <c r="I25" s="252">
        <f>+SUM(I15,I16,I18,I19,I20,I21,I22,I23,I24)</f>
        <v>0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17977.567999999996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9.887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9.887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9.887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9.887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-297.624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-297.624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-2.728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-2.728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-29.966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-29.966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10.408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10.408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1.503</v>
      </c>
      <c r="P44" s="395">
        <f t="shared" si="4"/>
        <v>1.647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1643.329</v>
      </c>
      <c r="G45" s="294">
        <f>+'Cash-Flow-2018-Leva'!G45/1000</f>
        <v>3022.082</v>
      </c>
      <c r="H45" s="293"/>
      <c r="I45" s="295">
        <f>+'Cash-Flow-2018-Leva'!I45/1000</f>
        <v>358.387</v>
      </c>
      <c r="J45" s="294">
        <f>+'Cash-Flow-2018-Leva'!J45/1000</f>
        <v>246.229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2001.716</v>
      </c>
      <c r="P45" s="429">
        <f t="shared" si="4"/>
        <v>3268.3109999999997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73.628</v>
      </c>
      <c r="J46" s="294">
        <f>+'Cash-Flow-2018-Leva'!J46/1000</f>
        <v>174.8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73.628</v>
      </c>
      <c r="P46" s="429">
        <f t="shared" si="4"/>
        <v>174.8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41.772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41.772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1686.6039999999998</v>
      </c>
      <c r="G48" s="251">
        <f>+SUM(G44:G47)</f>
        <v>3369.3849999999998</v>
      </c>
      <c r="H48" s="293"/>
      <c r="I48" s="252">
        <f>+SUM(I44:I47)</f>
        <v>432.015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2118.6189999999997</v>
      </c>
      <c r="P48" s="380">
        <f>+SUM(P44:P47)</f>
        <v>3790.4139999999998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19386.842999999993</v>
      </c>
      <c r="G50" s="273">
        <f>+G25+G30+G37+G42+G48</f>
        <v>38308.99900000001</v>
      </c>
      <c r="H50" s="293"/>
      <c r="I50" s="274">
        <f>+I25+I30+I37+I42+I48</f>
        <v>432.015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19818.857999999993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46068.344</v>
      </c>
      <c r="G53" s="244">
        <f>+'Cash-Flow-2018-Leva'!G53/1000</f>
        <v>131151.643</v>
      </c>
      <c r="H53" s="293"/>
      <c r="I53" s="254">
        <f>+'Cash-Flow-2018-Leva'!I53/1000</f>
        <v>186.66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46255.004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684.023</v>
      </c>
      <c r="G54" s="283">
        <f>+'Cash-Flow-2018-Leva'!G54/1000</f>
        <v>1470.209</v>
      </c>
      <c r="H54" s="293"/>
      <c r="I54" s="284">
        <f>+'Cash-Flow-2018-Leva'!I54/1000</f>
        <v>0.415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684.438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1661.37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1661.37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87108.071</v>
      </c>
      <c r="G56" s="283">
        <f>+'Cash-Flow-2018-Leva'!G56/1000</f>
        <v>172740.778</v>
      </c>
      <c r="H56" s="293"/>
      <c r="I56" s="284">
        <f>+'Cash-Flow-2018-Leva'!I56/1000</f>
        <v>210.321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87318.39199999999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17662.268</v>
      </c>
      <c r="G57" s="283">
        <f>+'Cash-Flow-2018-Leva'!G57/1000</f>
        <v>33803.767</v>
      </c>
      <c r="H57" s="293"/>
      <c r="I57" s="284">
        <f>+'Cash-Flow-2018-Leva'!I57/1000</f>
        <v>9.886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17672.154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153184.076</v>
      </c>
      <c r="G58" s="277">
        <f>+SUM(G53:G57)</f>
        <v>339976.58400000003</v>
      </c>
      <c r="H58" s="293"/>
      <c r="I58" s="278">
        <f>+SUM(I53:I57)</f>
        <v>407.282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153591.358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217.502</v>
      </c>
      <c r="G61" s="283">
        <f>+'Cash-Flow-2018-Leva'!G61/1000</f>
        <v>914.401</v>
      </c>
      <c r="H61" s="293"/>
      <c r="I61" s="284">
        <f>+'Cash-Flow-2018-Leva'!I61/1000</f>
        <v>163.954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381.456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0.421</v>
      </c>
      <c r="G62" s="283">
        <f>+'Cash-Flow-2018-Leva'!G62/1000</f>
        <v>287.102</v>
      </c>
      <c r="H62" s="293"/>
      <c r="I62" s="284">
        <f>+'Cash-Flow-2018-Leva'!I62/1000</f>
        <v>0.7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1.121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217.923</v>
      </c>
      <c r="G65" s="277">
        <f>+SUM(G60:G63)</f>
        <v>1201.503</v>
      </c>
      <c r="H65" s="293"/>
      <c r="I65" s="278">
        <f>+SUM(I60:I63)</f>
        <v>164.654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382.577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18.923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18.923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1.895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1.895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20.817999999999998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20.817999999999998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9174.067</v>
      </c>
      <c r="G71" s="244">
        <f>+'Cash-Flow-2018-Leva'!G71/1000</f>
        <v>23324.279</v>
      </c>
      <c r="H71" s="293"/>
      <c r="I71" s="254">
        <f>+'Cash-Flow-2018-Leva'!I71/1000</f>
        <v>124.618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9298.685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9174.067</v>
      </c>
      <c r="G73" s="277">
        <f>+SUM(G71:G72)</f>
        <v>23324.279</v>
      </c>
      <c r="H73" s="293"/>
      <c r="I73" s="278">
        <f>+SUM(I71:I72)</f>
        <v>124.618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9298.685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45366.548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45366.548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549.518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549.518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45916.066000000006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45916.066000000006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208512.95</v>
      </c>
      <c r="G79" s="288">
        <f>+G58+G65+G69+G73+G77</f>
        <v>477446.5200000001</v>
      </c>
      <c r="H79" s="293"/>
      <c r="I79" s="285">
        <f>+I58+I65+I69+I73+I77</f>
        <v>696.5539999999999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209209.50400000002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196388.616</v>
      </c>
      <c r="G81" s="271">
        <f>+'Cash-Flow-2018-Leva'!G81/1000</f>
        <v>449303.85</v>
      </c>
      <c r="H81" s="293"/>
      <c r="I81" s="272">
        <f>+'Cash-Flow-2018-Leva'!I81/1000</f>
        <v>1668.341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198056.957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196388.616</v>
      </c>
      <c r="G83" s="286">
        <f>+G81+G82</f>
        <v>449303.85</v>
      </c>
      <c r="H83" s="293"/>
      <c r="I83" s="287">
        <f>+I81+I82</f>
        <v>1668.341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198056.957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7262.508999999991</v>
      </c>
      <c r="G85" s="307">
        <f>+G50-G79+G83</f>
        <v>10166.32899999991</v>
      </c>
      <c r="H85" s="293"/>
      <c r="I85" s="308">
        <f>+I50-I79+I83</f>
        <v>1403.8020000000001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8666.310999999987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-7262.509000000001</v>
      </c>
      <c r="G86" s="309">
        <f>+G103+G122+G129-G134</f>
        <v>-10166.329</v>
      </c>
      <c r="H86" s="293"/>
      <c r="I86" s="310">
        <f>+I103+I122+I129-I134</f>
        <v>-1403.8020000000001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-8666.310999999998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-2223.113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-2223.113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290.741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290.741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-1932.3719999999998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-1932.3719999999998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-1895.291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-1895.291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-5510.359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-5510.359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-5510.359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-5510.359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-42.344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-834.206</v>
      </c>
      <c r="M118" s="244">
        <f>+'Cash-Flow-2018-Leva'!M118/1000</f>
        <v>781.519</v>
      </c>
      <c r="N118" s="483"/>
      <c r="O118" s="383">
        <f>+F118+I118+L118</f>
        <v>-876.5500000000001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-42.149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-834.206</v>
      </c>
      <c r="M120" s="277">
        <f>+SUM(M118:M119)</f>
        <v>781.519</v>
      </c>
      <c r="N120" s="483"/>
      <c r="O120" s="398">
        <f>+SUM(O118:O119)</f>
        <v>-876.355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-5552.508000000001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-834.206</v>
      </c>
      <c r="M122" s="288">
        <f>+M108+M112+M116+M120</f>
        <v>781.519</v>
      </c>
      <c r="N122" s="483"/>
      <c r="O122" s="402">
        <f>+O108+O112+O116+O120</f>
        <v>-6386.714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1387.272</v>
      </c>
      <c r="G125" s="283">
        <f>+'Cash-Flow-2018-Leva'!G125/1000</f>
        <v>-362.092</v>
      </c>
      <c r="H125" s="293"/>
      <c r="I125" s="284">
        <f>+'Cash-Flow-2018-Leva'!I125/1000</f>
        <v>-1398.93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-11.65800000000013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-665.432</v>
      </c>
      <c r="G126" s="283">
        <f>+'Cash-Flow-2018-Leva'!G126/1000</f>
        <v>-52.423</v>
      </c>
      <c r="H126" s="293"/>
      <c r="I126" s="284">
        <f>+'Cash-Flow-2018-Leva'!I126/1000</f>
        <v>-4.872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-670.304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721.8399999999999</v>
      </c>
      <c r="G129" s="286">
        <f>+SUM(G124,G125,G126,G128)</f>
        <v>-414.515</v>
      </c>
      <c r="H129" s="293"/>
      <c r="I129" s="287">
        <f>+SUM(I124,I125,I126,I128)</f>
        <v>-1403.8020000000001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-681.9620000000001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10.794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10.794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3408.388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1529.933</v>
      </c>
      <c r="M133" s="283">
        <f>+'Cash-Flow-2018-Leva'!M133/1000</f>
        <v>2364.138</v>
      </c>
      <c r="N133" s="483"/>
      <c r="O133" s="378">
        <f t="shared" si="9"/>
        <v>4938.321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536.5500000000001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-834.2060000000001</v>
      </c>
      <c r="M134" s="291">
        <f>+M133-M131-M132</f>
        <v>781.519</v>
      </c>
      <c r="N134" s="483"/>
      <c r="O134" s="411">
        <f>+O133-O131-O132</f>
        <v>-297.65600000000006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24072018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2018-01-03T17:05:49Z</cp:lastPrinted>
  <dcterms:created xsi:type="dcterms:W3CDTF">2015-12-01T07:17:04Z</dcterms:created>
  <dcterms:modified xsi:type="dcterms:W3CDTF">2018-07-24T10:42:51Z</dcterms:modified>
  <cp:category/>
  <cp:version/>
  <cp:contentType/>
  <cp:contentStatus/>
</cp:coreProperties>
</file>