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<sst xmlns="http://schemas.openxmlformats.org/spreadsheetml/2006/main" count="545" uniqueCount="374">
  <si>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</si>
  <si>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</si>
  <si>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</si>
  <si>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</si>
  <si>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</si>
  <si>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</si>
  <si>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</si>
  <si>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</si>
  <si>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</si>
  <si>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</si>
  <si>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</si>
  <si>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</si>
  <si>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</si>
  <si>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</si>
  <si>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</si>
  <si>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</si>
  <si>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</si>
  <si>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</si>
  <si>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</si>
  <si>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</si>
  <si>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</si>
  <si>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</si>
  <si>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</si>
  <si>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</si>
  <si>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</si>
  <si>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</si>
  <si>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</si>
  <si>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</si>
  <si>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</si>
  <si>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</si>
  <si>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</si>
  <si>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</si>
  <si>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</si>
  <si>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</si>
  <si>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</si>
  <si>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</si>
  <si>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</si>
  <si>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</si>
  <si>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</si>
  <si>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</si>
  <si>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</si>
  <si>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</si>
  <si>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</si>
  <si>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</si>
  <si>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</si>
  <si>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</si>
  <si>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</si>
  <si>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</si>
  <si>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</si>
  <si>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</si>
  <si>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</si>
  <si>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</si>
  <si>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</si>
  <si>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</si>
  <si>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</si>
  <si>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</si>
  <si>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</si>
  <si>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</si>
  <si>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</si>
  <si>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</si>
  <si>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</si>
  <si>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</si>
  <si>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</si>
  <si>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</si>
  <si>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</si>
  <si>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</si>
  <si>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</si>
  <si>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</si>
  <si>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</si>
  <si>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</si>
  <si>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</si>
  <si>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</si>
  <si>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</si>
  <si>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</si>
  <si>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</si>
  <si>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</si>
  <si>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</si>
  <si>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</si>
  <si>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</si>
  <si>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</si>
  <si>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</si>
  <si>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</si>
  <si>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</si>
  <si>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</si>
  <si>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</si>
  <si>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</si>
  <si>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</si>
  <si>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</si>
  <si>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</si>
  <si>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</si>
  <si>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</si>
  <si>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</si>
  <si>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</si>
  <si>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</si>
  <si>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</si>
  <si>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</si>
  <si>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</si>
  <si>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</si>
  <si>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</si>
  <si>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</si>
  <si>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</si>
  <si>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</si>
  <si>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</si>
  <si>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</si>
  <si>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</si>
  <si>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</si>
  <si>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</si>
  <si>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</si>
  <si>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</si>
  <si>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</si>
  <si>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</si>
  <si>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</si>
  <si>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</si>
  <si>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</si>
  <si>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</si>
  <si>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</si>
  <si>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</si>
  <si>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</si>
  <si>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</si>
  <si>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</si>
  <si>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</si>
  <si>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</si>
  <si>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</si>
  <si>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</si>
  <si>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</si>
  <si>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</si>
  <si>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</si>
  <si>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</si>
  <si>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</si>
  <si>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</si>
  <si>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</si>
  <si>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</si>
  <si>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</si>
  <si>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</si>
  <si>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</si>
  <si>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</si>
  <si>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</si>
  <si>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</si>
  <si>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</si>
  <si>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</si>
  <si>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</si>
  <si>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</si>
  <si>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</si>
  <si>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</si>
  <si>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</si>
  <si>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</si>
  <si>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</si>
  <si>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</si>
  <si>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</si>
  <si>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</si>
  <si>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</si>
  <si>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</si>
  <si>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</si>
  <si>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</si>
  <si>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</si>
  <si>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</si>
  <si>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</si>
  <si>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</si>
  <si>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</si>
  <si>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</si>
  <si>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</si>
  <si>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</si>
  <si>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</si>
  <si>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</si>
  <si>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</si>
  <si>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</si>
  <si>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</si>
  <si>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</si>
  <si>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</si>
  <si>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</si>
  <si>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</si>
  <si>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</si>
  <si>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</si>
  <si>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</si>
  <si>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</si>
  <si>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</si>
  <si>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</si>
  <si>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</si>
  <si>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</si>
  <si>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</si>
  <si>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</si>
  <si>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</si>
  <si>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</si>
  <si>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</si>
  <si>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</si>
  <si>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</si>
  <si>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</si>
  <si>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</si>
  <si>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</si>
  <si>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</si>
  <si>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</si>
  <si>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</si>
  <si>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</si>
  <si>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</si>
  <si>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</si>
  <si>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</si>
  <si>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</si>
  <si>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</si>
  <si>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</si>
  <si>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</si>
  <si>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</si>
  <si>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</si>
  <si>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</si>
  <si>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</si>
  <si>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</si>
  <si>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</si>
  <si>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</si>
  <si>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</si>
  <si>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</si>
  <si>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</si>
  <si>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</si>
  <si>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</si>
  <si>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</si>
  <si>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</si>
  <si>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</si>
  <si>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</si>
  <si>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</si>
  <si>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</si>
  <si>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</si>
  <si>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</si>
  <si>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</si>
  <si>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</si>
  <si>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</si>
  <si>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</si>
  <si>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</si>
  <si>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</si>
  <si>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</si>
  <si>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</si>
  <si>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</si>
  <si>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</si>
  <si>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</si>
  <si>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</si>
  <si>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</si>
  <si>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</si>
  <si>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</si>
  <si>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</si>
  <si>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</si>
  <si>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</si>
  <si>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</si>
  <si>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</si>
  <si>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</si>
  <si>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</si>
  <si>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</si>
  <si>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</si>
  <si>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</si>
  <si>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</si>
  <si>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</si>
  <si>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</si>
  <si>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</si>
  <si>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</si>
  <si>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</si>
  <si>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</si>
  <si>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</si>
  <si>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</si>
  <si>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</si>
  <si>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</si>
  <si>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</si>
  <si>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</si>
  <si>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</si>
  <si>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</si>
  <si>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</si>
  <si>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</si>
  <si>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</si>
  <si>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</si>
  <si>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</si>
  <si>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</si>
  <si>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</si>
  <si>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</si>
  <si>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</si>
  <si>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</si>
  <si>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</si>
  <si>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</si>
  <si>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</si>
  <si>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</si>
  <si>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</si>
  <si>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</si>
  <si>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</si>
  <si>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</si>
  <si>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</si>
  <si>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</si>
  <si>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</si>
  <si>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</si>
  <si>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</si>
  <si>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</si>
  <si>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</si>
  <si>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</si>
  <si>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</si>
  <si>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</si>
  <si>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</si>
  <si>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</si>
  <si>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</si>
  <si>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</si>
  <si>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</si>
  <si>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</si>
  <si>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</si>
  <si>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</si>
  <si>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</si>
  <si>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</si>
  <si>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</si>
  <si>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</si>
  <si>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</si>
  <si>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</si>
  <si>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</si>
  <si>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</si>
  <si>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</si>
  <si>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</si>
  <si>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</si>
  <si>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</si>
  <si>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</si>
  <si>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</si>
  <si>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</si>
  <si>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</si>
  <si>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</si>
  <si>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</si>
  <si>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</si>
  <si>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</si>
  <si>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</si>
  <si>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</si>
  <si>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</si>
  <si>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</si>
  <si>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</si>
  <si>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</si>
  <si>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</si>
  <si>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</si>
  <si>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</si>
  <si>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</si>
  <si>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</si>
  <si>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</si>
  <si>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</si>
  <si>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</si>
  <si>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</si>
  <si>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</si>
  <si>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</si>
  <si>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</si>
  <si>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</si>
  <si>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</si>
  <si>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</si>
  <si>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</si>
  <si>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</si>
  <si>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</si>
  <si>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</si>
  <si>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</si>
  <si>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</si>
  <si>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</si>
  <si>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</si>
  <si>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</si>
  <si>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</si>
  <si>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</si>
  <si>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</si>
  <si>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</si>
  <si>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</si>
  <si>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</si>
  <si>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</si>
  <si>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</si>
  <si>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</si>
  <si>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</si>
  <si>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</si>
  <si>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</si>
  <si>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</si>
  <si>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</si>
  <si>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</si>
  <si>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</si>
  <si>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</si>
  <si>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</si>
  <si>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</si>
  <si>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</si>
  <si>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</si>
  <si>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</si>
  <si>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</si>
  <si>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</si>
  <si>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</si>
  <si>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</si>
  <si>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</si>
  <si>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МИНИСТЕРСТВО НА ЗДРАВЕОПАЗВАНЕТО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</si>
</sst>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0" fillId="26" borderId="0" applyNumberFormat="0" applyBorder="0" applyAlignment="0" applyProtection="0"/>
    <xf numFmtId="0" fontId="131" fillId="27" borderId="1" applyNumberFormat="0" applyAlignment="0" applyProtection="0"/>
    <xf numFmtId="0" fontId="1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30" borderId="1" applyNumberFormat="0" applyAlignment="0" applyProtection="0"/>
    <xf numFmtId="0" fontId="141" fillId="0" borderId="6" applyNumberFormat="0" applyFill="0" applyAlignment="0" applyProtection="0"/>
    <xf numFmtId="0" fontId="1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3" fillId="27" borderId="8" applyNumberFormat="0" applyAlignment="0" applyProtection="0"/>
    <xf numFmtId="9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7" fillId="32" borderId="0" xfId="62" applyFont="1" applyFill="1" applyAlignment="1" applyProtection="1">
      <alignment horizontal="right"/>
      <protection/>
    </xf>
    <xf numFmtId="0" fontId="148" fillId="32" borderId="0" xfId="62" applyFont="1" applyFill="1" applyBorder="1" applyAlignment="1" applyProtection="1">
      <alignment horizontal="center"/>
      <protection/>
    </xf>
    <xf numFmtId="174" fontId="149" fillId="32" borderId="0" xfId="64" applyNumberFormat="1" applyFont="1" applyFill="1" applyAlignment="1" applyProtection="1">
      <alignment/>
      <protection/>
    </xf>
    <xf numFmtId="0" fontId="147" fillId="32" borderId="0" xfId="57" applyFont="1" applyFill="1" applyAlignment="1" applyProtection="1" quotePrefix="1">
      <alignment/>
      <protection/>
    </xf>
    <xf numFmtId="0" fontId="149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2" fillId="38" borderId="0" xfId="57" applyFont="1" applyFill="1" applyBorder="1">
      <alignment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0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9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19" fillId="32" borderId="21" xfId="57" applyNumberFormat="1" applyFont="1" applyFill="1" applyBorder="1" applyAlignment="1">
      <alignment horizontal="center"/>
      <protection/>
    </xf>
    <xf numFmtId="177" fontId="25" fillId="38" borderId="0" xfId="57" applyNumberFormat="1" applyFont="1" applyFill="1" applyBorder="1">
      <alignment/>
      <protection/>
    </xf>
    <xf numFmtId="0" fontId="149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79" fontId="9" fillId="32" borderId="22" xfId="57" applyNumberFormat="1" applyFont="1" applyFill="1" applyBorder="1" applyAlignment="1">
      <alignment horizontal="left"/>
      <protection/>
    </xf>
    <xf numFmtId="179" fontId="9" fillId="32" borderId="21" xfId="57" applyNumberFormat="1" applyFont="1" applyFill="1" applyBorder="1" applyAlignment="1">
      <alignment horizontal="left"/>
      <protection/>
    </xf>
    <xf numFmtId="177" fontId="25" fillId="32" borderId="0" xfId="57" applyNumberFormat="1" applyFont="1" applyFill="1" applyBorder="1">
      <alignment/>
      <protection/>
    </xf>
    <xf numFmtId="177" fontId="25" fillId="32" borderId="19" xfId="57" applyNumberFormat="1" applyFont="1" applyFill="1" applyBorder="1">
      <alignment/>
      <protection/>
    </xf>
    <xf numFmtId="176" fontId="25" fillId="32" borderId="0" xfId="57" applyNumberFormat="1" applyFont="1" applyFill="1" applyBorder="1" applyAlignment="1">
      <alignment horizontal="center"/>
      <protection/>
    </xf>
    <xf numFmtId="176" fontId="25" fillId="32" borderId="19" xfId="57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153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8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47" fillId="40" borderId="27" xfId="57" applyFont="1" applyFill="1" applyBorder="1">
      <alignment/>
      <protection/>
    </xf>
    <xf numFmtId="0" fontId="149" fillId="40" borderId="28" xfId="57" applyFont="1" applyFill="1" applyBorder="1">
      <alignment/>
      <protection/>
    </xf>
    <xf numFmtId="0" fontId="149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8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5" borderId="48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46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8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64" applyNumberFormat="1" applyFont="1" applyFill="1" applyBorder="1" applyAlignment="1" applyProtection="1">
      <alignment/>
      <protection/>
    </xf>
    <xf numFmtId="38" fontId="25" fillId="44" borderId="58" xfId="64" applyNumberFormat="1" applyFont="1" applyFill="1" applyBorder="1" applyAlignment="1" applyProtection="1">
      <alignment/>
      <protection/>
    </xf>
    <xf numFmtId="38" fontId="25" fillId="44" borderId="51" xfId="64" applyNumberFormat="1" applyFont="1" applyFill="1" applyBorder="1" applyAlignment="1" applyProtection="1">
      <alignment/>
      <protection/>
    </xf>
    <xf numFmtId="38" fontId="25" fillId="44" borderId="52" xfId="64" applyNumberFormat="1" applyFont="1" applyFill="1" applyBorder="1" applyAlignment="1" applyProtection="1">
      <alignment/>
      <protection/>
    </xf>
    <xf numFmtId="38" fontId="25" fillId="44" borderId="53" xfId="64" applyNumberFormat="1" applyFont="1" applyFill="1" applyBorder="1" applyAlignment="1" applyProtection="1">
      <alignment/>
      <protection/>
    </xf>
    <xf numFmtId="38" fontId="25" fillId="44" borderId="54" xfId="64" applyNumberFormat="1" applyFont="1" applyFill="1" applyBorder="1" applyAlignment="1" applyProtection="1">
      <alignment/>
      <protection/>
    </xf>
    <xf numFmtId="38" fontId="8" fillId="33" borderId="59" xfId="64" applyNumberFormat="1" applyFont="1" applyFill="1" applyBorder="1" applyAlignment="1" applyProtection="1">
      <alignment/>
      <protection/>
    </xf>
    <xf numFmtId="38" fontId="8" fillId="33" borderId="22" xfId="64" applyNumberFormat="1" applyFont="1" applyFill="1" applyBorder="1" applyAlignment="1" applyProtection="1">
      <alignment/>
      <protection/>
    </xf>
    <xf numFmtId="38" fontId="8" fillId="33" borderId="56" xfId="64" applyNumberFormat="1" applyFont="1" applyFill="1" applyBorder="1" applyAlignment="1" applyProtection="1">
      <alignment/>
      <protection/>
    </xf>
    <xf numFmtId="38" fontId="25" fillId="44" borderId="47" xfId="64" applyNumberFormat="1" applyFont="1" applyFill="1" applyBorder="1" applyAlignment="1" applyProtection="1">
      <alignment/>
      <protection/>
    </xf>
    <xf numFmtId="38" fontId="25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8" fillId="33" borderId="66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8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5" fillId="44" borderId="55" xfId="64" applyNumberFormat="1" applyFont="1" applyFill="1" applyBorder="1" applyAlignment="1" applyProtection="1">
      <alignment/>
      <protection/>
    </xf>
    <xf numFmtId="38" fontId="25" fillId="44" borderId="63" xfId="64" applyNumberFormat="1" applyFont="1" applyFill="1" applyBorder="1" applyAlignment="1" applyProtection="1">
      <alignment/>
      <protection/>
    </xf>
    <xf numFmtId="38" fontId="25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59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8" fillId="44" borderId="59" xfId="64" applyNumberFormat="1" applyFont="1" applyFill="1" applyBorder="1" applyAlignment="1" applyProtection="1">
      <alignment horizontal="center"/>
      <protection/>
    </xf>
    <xf numFmtId="38" fontId="8" fillId="44" borderId="22" xfId="64" applyNumberFormat="1" applyFont="1" applyFill="1" applyBorder="1" applyAlignment="1" applyProtection="1">
      <alignment horizontal="center"/>
      <protection/>
    </xf>
    <xf numFmtId="38" fontId="8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5" fillId="44" borderId="46" xfId="64" applyNumberFormat="1" applyFont="1" applyFill="1" applyBorder="1" applyAlignment="1" applyProtection="1">
      <alignment horizontal="center"/>
      <protection/>
    </xf>
    <xf numFmtId="38" fontId="25" fillId="44" borderId="47" xfId="64" applyNumberFormat="1" applyFont="1" applyFill="1" applyBorder="1" applyAlignment="1" applyProtection="1">
      <alignment horizontal="center"/>
      <protection/>
    </xf>
    <xf numFmtId="38" fontId="25" fillId="44" borderId="48" xfId="64" applyNumberFormat="1" applyFont="1" applyFill="1" applyBorder="1" applyAlignment="1" applyProtection="1">
      <alignment horizontal="center"/>
      <protection/>
    </xf>
    <xf numFmtId="38" fontId="8" fillId="33" borderId="59" xfId="64" applyNumberFormat="1" applyFont="1" applyFill="1" applyBorder="1" applyAlignment="1" applyProtection="1">
      <alignment horizontal="center"/>
      <protection/>
    </xf>
    <xf numFmtId="38" fontId="8" fillId="33" borderId="22" xfId="64" applyNumberFormat="1" applyFont="1" applyFill="1" applyBorder="1" applyAlignment="1" applyProtection="1">
      <alignment horizontal="center"/>
      <protection/>
    </xf>
    <xf numFmtId="38" fontId="8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8" fillId="33" borderId="66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50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34" xfId="64" applyNumberFormat="1" applyFont="1" applyFill="1" applyBorder="1" applyAlignment="1" applyProtection="1">
      <alignment horizontal="left"/>
      <protection/>
    </xf>
    <xf numFmtId="0" fontId="161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5" fillId="49" borderId="0" xfId="61" applyFont="1" applyFill="1" applyBorder="1" applyAlignment="1" applyProtection="1">
      <alignment horizontal="center"/>
      <protection/>
    </xf>
    <xf numFmtId="174" fontId="164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6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6" fillId="35" borderId="0" xfId="63" applyFont="1" applyFill="1" applyBorder="1" applyAlignment="1" applyProtection="1">
      <alignment/>
      <protection/>
    </xf>
    <xf numFmtId="0" fontId="165" fillId="33" borderId="0" xfId="61" applyFont="1" applyFill="1" applyBorder="1" applyAlignment="1" applyProtection="1">
      <alignment horizontal="center"/>
      <protection/>
    </xf>
    <xf numFmtId="172" fontId="58" fillId="50" borderId="31" xfId="63" applyNumberFormat="1" applyFont="1" applyFill="1" applyBorder="1" applyAlignment="1" applyProtection="1">
      <alignment horizontal="center" vertical="center"/>
      <protection locked="0"/>
    </xf>
    <xf numFmtId="174" fontId="147" fillId="32" borderId="0" xfId="64" applyNumberFormat="1" applyFont="1" applyFill="1" applyAlignment="1" applyProtection="1">
      <alignment/>
      <protection/>
    </xf>
    <xf numFmtId="0" fontId="149" fillId="35" borderId="0" xfId="63" applyFont="1" applyFill="1" applyBorder="1" applyProtection="1">
      <alignment/>
      <protection/>
    </xf>
    <xf numFmtId="0" fontId="167" fillId="35" borderId="0" xfId="63" applyFont="1" applyFill="1" applyBorder="1" applyProtection="1">
      <alignment/>
      <protection/>
    </xf>
    <xf numFmtId="0" fontId="167" fillId="35" borderId="0" xfId="63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32" borderId="49" xfId="0" applyFont="1" applyFill="1" applyBorder="1" applyAlignment="1" applyProtection="1">
      <alignment horizontal="center"/>
      <protection locked="0"/>
    </xf>
    <xf numFmtId="172" fontId="170" fillId="33" borderId="31" xfId="63" applyNumberFormat="1" applyFont="1" applyFill="1" applyBorder="1" applyAlignment="1" applyProtection="1">
      <alignment horizontal="center" vertical="center"/>
      <protection/>
    </xf>
    <xf numFmtId="172" fontId="171" fillId="33" borderId="31" xfId="63" applyNumberFormat="1" applyFont="1" applyFill="1" applyBorder="1" applyAlignment="1" applyProtection="1">
      <alignment horizontal="center" vertical="center"/>
      <protection/>
    </xf>
    <xf numFmtId="0" fontId="9" fillId="33" borderId="31" xfId="63" applyNumberFormat="1" applyFont="1" applyFill="1" applyBorder="1" applyAlignment="1" applyProtection="1">
      <alignment horizontal="center" vertical="center"/>
      <protection/>
    </xf>
    <xf numFmtId="0" fontId="9" fillId="38" borderId="31" xfId="63" applyNumberFormat="1" applyFont="1" applyFill="1" applyBorder="1" applyAlignment="1" applyProtection="1">
      <alignment horizontal="center" vertical="center"/>
      <protection locked="0"/>
    </xf>
    <xf numFmtId="38" fontId="18" fillId="33" borderId="64" xfId="64" applyNumberFormat="1" applyFont="1" applyFill="1" applyBorder="1" applyAlignment="1" applyProtection="1">
      <alignment/>
      <protection/>
    </xf>
    <xf numFmtId="38" fontId="18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2" fillId="32" borderId="119" xfId="0" applyNumberFormat="1" applyFont="1" applyFill="1" applyBorder="1" applyAlignment="1" applyProtection="1" quotePrefix="1">
      <alignment/>
      <protection/>
    </xf>
    <xf numFmtId="174" fontId="173" fillId="32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63" applyFont="1" applyFill="1" applyBorder="1" applyProtection="1">
      <alignment/>
      <protection/>
    </xf>
    <xf numFmtId="0" fontId="36" fillId="33" borderId="47" xfId="63" applyFont="1" applyFill="1" applyBorder="1" applyProtection="1">
      <alignment/>
      <protection/>
    </xf>
    <xf numFmtId="0" fontId="36" fillId="33" borderId="33" xfId="63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5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79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32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32" borderId="72" xfId="57" applyFont="1" applyFill="1" applyBorder="1">
      <alignment/>
      <protection/>
    </xf>
    <xf numFmtId="0" fontId="23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0" fillId="32" borderId="17" xfId="57" applyFont="1" applyFill="1" applyBorder="1">
      <alignment/>
      <protection/>
    </xf>
    <xf numFmtId="0" fontId="23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0" fillId="32" borderId="17" xfId="57" applyFont="1" applyFill="1" applyBorder="1">
      <alignment/>
      <protection/>
    </xf>
    <xf numFmtId="0" fontId="150" fillId="32" borderId="30" xfId="57" applyFont="1" applyFill="1" applyBorder="1">
      <alignment/>
      <protection/>
    </xf>
    <xf numFmtId="0" fontId="23" fillId="32" borderId="19" xfId="57" applyFont="1" applyFill="1" applyBorder="1">
      <alignment/>
      <protection/>
    </xf>
    <xf numFmtId="0" fontId="150" fillId="32" borderId="72" xfId="57" applyFont="1" applyFill="1" applyBorder="1" quotePrefix="1">
      <alignment/>
      <protection/>
    </xf>
    <xf numFmtId="0" fontId="150" fillId="32" borderId="17" xfId="57" applyFont="1" applyFill="1" applyBorder="1" quotePrefix="1">
      <alignment/>
      <protection/>
    </xf>
    <xf numFmtId="176" fontId="29" fillId="53" borderId="0" xfId="57" applyNumberFormat="1" applyFont="1" applyFill="1" applyBorder="1" applyAlignment="1">
      <alignment horizontal="center"/>
      <protection/>
    </xf>
    <xf numFmtId="179" fontId="29" fillId="53" borderId="0" xfId="57" applyNumberFormat="1" applyFont="1" applyFill="1" applyBorder="1" applyAlignment="1">
      <alignment horizontal="center"/>
      <protection/>
    </xf>
    <xf numFmtId="179" fontId="25" fillId="32" borderId="0" xfId="57" applyNumberFormat="1" applyFont="1" applyFill="1" applyBorder="1" applyAlignment="1">
      <alignment horizontal="center"/>
      <protection/>
    </xf>
    <xf numFmtId="176" fontId="25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5" fillId="33" borderId="0" xfId="57" applyNumberFormat="1" applyFont="1" applyFill="1" applyBorder="1" applyAlignment="1">
      <alignment/>
      <protection/>
    </xf>
    <xf numFmtId="179" fontId="25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72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9" fillId="32" borderId="30" xfId="57" applyFont="1" applyFill="1" applyBorder="1">
      <alignment/>
      <protection/>
    </xf>
    <xf numFmtId="0" fontId="9" fillId="38" borderId="19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7" borderId="0" xfId="57" applyFont="1" applyFill="1">
      <alignment/>
      <protection/>
    </xf>
    <xf numFmtId="178" fontId="25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25" fillId="33" borderId="0" xfId="57" applyNumberFormat="1" applyFont="1" applyFill="1" applyBorder="1" applyAlignment="1">
      <alignment horizontal="center"/>
      <protection/>
    </xf>
    <xf numFmtId="178" fontId="25" fillId="38" borderId="0" xfId="57" applyNumberFormat="1" applyFont="1" applyFill="1" applyBorder="1" applyAlignment="1">
      <alignment horizontal="center"/>
      <protection/>
    </xf>
    <xf numFmtId="193" fontId="147" fillId="40" borderId="28" xfId="58" applyNumberFormat="1" applyFont="1" applyFill="1" applyBorder="1" applyAlignment="1">
      <alignment horizontal="center"/>
      <protection/>
    </xf>
    <xf numFmtId="179" fontId="25" fillId="32" borderId="0" xfId="57" applyNumberFormat="1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center"/>
      <protection/>
    </xf>
    <xf numFmtId="177" fontId="25" fillId="53" borderId="0" xfId="57" applyNumberFormat="1" applyFont="1" applyFill="1" applyBorder="1" applyAlignment="1">
      <alignment horizontal="center"/>
      <protection/>
    </xf>
    <xf numFmtId="176" fontId="25" fillId="32" borderId="0" xfId="57" applyNumberFormat="1" applyFont="1" applyFill="1" applyBorder="1" applyAlignment="1">
      <alignment horizontal="center"/>
      <protection/>
    </xf>
    <xf numFmtId="38" fontId="179" fillId="44" borderId="46" xfId="64" applyNumberFormat="1" applyFont="1" applyFill="1" applyBorder="1" applyAlignment="1" applyProtection="1">
      <alignment horizontal="center"/>
      <protection/>
    </xf>
    <xf numFmtId="38" fontId="179" fillId="44" borderId="47" xfId="64" applyNumberFormat="1" applyFont="1" applyFill="1" applyBorder="1" applyAlignment="1" applyProtection="1">
      <alignment horizontal="center"/>
      <protection/>
    </xf>
    <xf numFmtId="38" fontId="179" fillId="44" borderId="48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186" fontId="180" fillId="46" borderId="32" xfId="57" applyNumberFormat="1" applyFont="1" applyFill="1" applyBorder="1" applyAlignment="1" applyProtection="1">
      <alignment horizontal="center" vertical="center"/>
      <protection locked="0"/>
    </xf>
    <xf numFmtId="186" fontId="180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8" fillId="46" borderId="48" xfId="64" applyNumberFormat="1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48" fillId="33" borderId="66" xfId="64" applyNumberFormat="1" applyFont="1" applyFill="1" applyBorder="1" applyAlignment="1" applyProtection="1">
      <alignment horizontal="center"/>
      <protection/>
    </xf>
    <xf numFmtId="38" fontId="48" fillId="33" borderId="49" xfId="64" applyNumberFormat="1" applyFont="1" applyFill="1" applyBorder="1" applyAlignment="1" applyProtection="1">
      <alignment horizontal="center"/>
      <protection/>
    </xf>
    <xf numFmtId="38" fontId="48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59" fillId="47" borderId="69" xfId="64" applyNumberFormat="1" applyFont="1" applyFill="1" applyBorder="1" applyAlignment="1" applyProtection="1">
      <alignment horizontal="center"/>
      <protection/>
    </xf>
    <xf numFmtId="38" fontId="159" fillId="47" borderId="19" xfId="64" applyNumberFormat="1" applyFont="1" applyFill="1" applyBorder="1" applyAlignment="1" applyProtection="1">
      <alignment horizontal="center"/>
      <protection/>
    </xf>
    <xf numFmtId="38" fontId="159" fillId="47" borderId="62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38" fontId="25" fillId="44" borderId="55" xfId="64" applyNumberFormat="1" applyFont="1" applyFill="1" applyBorder="1" applyAlignment="1" applyProtection="1">
      <alignment horizontal="center"/>
      <protection/>
    </xf>
    <xf numFmtId="38" fontId="25" fillId="44" borderId="57" xfId="64" applyNumberFormat="1" applyFont="1" applyFill="1" applyBorder="1" applyAlignment="1" applyProtection="1">
      <alignment horizontal="center"/>
      <protection/>
    </xf>
    <xf numFmtId="38" fontId="25" fillId="44" borderId="58" xfId="64" applyNumberFormat="1" applyFont="1" applyFill="1" applyBorder="1" applyAlignment="1" applyProtection="1">
      <alignment horizontal="center"/>
      <protection/>
    </xf>
    <xf numFmtId="38" fontId="25" fillId="44" borderId="63" xfId="64" applyNumberFormat="1" applyFont="1" applyFill="1" applyBorder="1" applyAlignment="1" applyProtection="1">
      <alignment horizontal="center"/>
      <protection/>
    </xf>
    <xf numFmtId="38" fontId="25" fillId="44" borderId="51" xfId="64" applyNumberFormat="1" applyFont="1" applyFill="1" applyBorder="1" applyAlignment="1" applyProtection="1">
      <alignment horizontal="center"/>
      <protection/>
    </xf>
    <xf numFmtId="38" fontId="25" fillId="44" borderId="52" xfId="64" applyNumberFormat="1" applyFont="1" applyFill="1" applyBorder="1" applyAlignment="1" applyProtection="1">
      <alignment horizontal="center"/>
      <protection/>
    </xf>
    <xf numFmtId="38" fontId="25" fillId="44" borderId="64" xfId="64" applyNumberFormat="1" applyFont="1" applyFill="1" applyBorder="1" applyAlignment="1" applyProtection="1">
      <alignment horizontal="center"/>
      <protection/>
    </xf>
    <xf numFmtId="38" fontId="25" fillId="44" borderId="53" xfId="64" applyNumberFormat="1" applyFont="1" applyFill="1" applyBorder="1" applyAlignment="1" applyProtection="1">
      <alignment horizontal="center"/>
      <protection/>
    </xf>
    <xf numFmtId="38" fontId="25" fillId="44" borderId="54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25" fillId="54" borderId="46" xfId="64" applyNumberFormat="1" applyFont="1" applyFill="1" applyBorder="1" applyAlignment="1" applyProtection="1">
      <alignment horizontal="center"/>
      <protection/>
    </xf>
    <xf numFmtId="38" fontId="25" fillId="54" borderId="47" xfId="64" applyNumberFormat="1" applyFont="1" applyFill="1" applyBorder="1" applyAlignment="1" applyProtection="1">
      <alignment horizontal="center"/>
      <protection/>
    </xf>
    <xf numFmtId="38" fontId="25" fillId="54" borderId="48" xfId="64" applyNumberFormat="1" applyFont="1" applyFill="1" applyBorder="1" applyAlignment="1" applyProtection="1">
      <alignment horizontal="center"/>
      <protection/>
    </xf>
    <xf numFmtId="0" fontId="181" fillId="32" borderId="0" xfId="60" applyFont="1" applyFill="1" applyBorder="1" applyAlignment="1" applyProtection="1">
      <alignment horizontal="center"/>
      <protection/>
    </xf>
    <xf numFmtId="185" fontId="156" fillId="33" borderId="32" xfId="60" applyNumberFormat="1" applyFont="1" applyFill="1" applyBorder="1" applyAlignment="1" applyProtection="1">
      <alignment horizontal="center"/>
      <protection/>
    </xf>
    <xf numFmtId="185" fontId="156" fillId="33" borderId="47" xfId="60" applyNumberFormat="1" applyFont="1" applyFill="1" applyBorder="1" applyAlignment="1" applyProtection="1">
      <alignment horizontal="center"/>
      <protection/>
    </xf>
    <xf numFmtId="185" fontId="156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85" fontId="182" fillId="32" borderId="0" xfId="60" applyNumberFormat="1" applyFont="1" applyFill="1" applyBorder="1" applyAlignment="1" applyProtection="1">
      <alignment horizontal="center"/>
      <protection/>
    </xf>
    <xf numFmtId="0" fontId="147" fillId="32" borderId="0" xfId="57" applyFont="1" applyFill="1" applyAlignment="1" applyProtection="1" quotePrefix="1">
      <alignment horizontal="center"/>
      <protection/>
    </xf>
    <xf numFmtId="187" fontId="147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39" fillId="36" borderId="32" xfId="53" applyFill="1" applyBorder="1" applyAlignment="1" applyProtection="1">
      <alignment horizontal="center" vertical="center"/>
      <protection locked="0"/>
    </xf>
    <xf numFmtId="0" fontId="183" fillId="36" borderId="47" xfId="53" applyFont="1" applyFill="1" applyBorder="1" applyAlignment="1" applyProtection="1">
      <alignment horizontal="center" vertical="center"/>
      <protection locked="0"/>
    </xf>
    <xf numFmtId="0" fontId="183" fillId="36" borderId="33" xfId="53" applyFont="1" applyFill="1" applyBorder="1" applyAlignment="1" applyProtection="1">
      <alignment horizontal="center" vertical="center"/>
      <protection locked="0"/>
    </xf>
    <xf numFmtId="38" fontId="139" fillId="33" borderId="32" xfId="53" applyNumberFormat="1" applyFill="1" applyBorder="1" applyAlignment="1" applyProtection="1">
      <alignment horizontal="center" vertical="center"/>
      <protection locked="0"/>
    </xf>
    <xf numFmtId="38" fontId="184" fillId="33" borderId="47" xfId="53" applyNumberFormat="1" applyFont="1" applyFill="1" applyBorder="1" applyAlignment="1" applyProtection="1">
      <alignment horizontal="center" vertical="center"/>
      <protection locked="0"/>
    </xf>
    <xf numFmtId="38" fontId="184" fillId="33" borderId="33" xfId="53" applyNumberFormat="1" applyFont="1" applyFill="1" applyBorder="1" applyAlignment="1" applyProtection="1">
      <alignment horizontal="center" vertical="center"/>
      <protection locked="0"/>
    </xf>
    <xf numFmtId="0" fontId="56" fillId="50" borderId="124" xfId="63" applyFont="1" applyFill="1" applyBorder="1" applyAlignment="1" applyProtection="1" quotePrefix="1">
      <alignment horizontal="center" wrapText="1"/>
      <protection locked="0"/>
    </xf>
    <xf numFmtId="0" fontId="56" fillId="50" borderId="57" xfId="63" applyFont="1" applyFill="1" applyBorder="1" applyAlignment="1" applyProtection="1">
      <alignment horizontal="center" wrapText="1"/>
      <protection locked="0"/>
    </xf>
    <xf numFmtId="0" fontId="56" fillId="50" borderId="125" xfId="63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5" fillId="32" borderId="49" xfId="57" applyFont="1" applyFill="1" applyBorder="1" applyAlignment="1" applyProtection="1" quotePrefix="1">
      <alignment horizontal="center"/>
      <protection/>
    </xf>
    <xf numFmtId="0" fontId="186" fillId="38" borderId="30" xfId="63" applyFont="1" applyFill="1" applyBorder="1" applyAlignment="1" applyProtection="1">
      <alignment horizontal="center" vertical="center" wrapText="1"/>
      <protection locked="0"/>
    </xf>
    <xf numFmtId="0" fontId="186" fillId="38" borderId="19" xfId="63" applyFont="1" applyFill="1" applyBorder="1" applyAlignment="1" applyProtection="1">
      <alignment horizontal="center" vertical="center" wrapText="1"/>
      <protection locked="0"/>
    </xf>
    <xf numFmtId="0" fontId="186" fillId="38" borderId="20" xfId="63" applyFont="1" applyFill="1" applyBorder="1" applyAlignment="1" applyProtection="1">
      <alignment horizontal="center" vertical="center" wrapText="1"/>
      <protection locked="0"/>
    </xf>
    <xf numFmtId="0" fontId="187" fillId="33" borderId="65" xfId="61" applyFont="1" applyFill="1" applyBorder="1" applyAlignment="1" applyProtection="1">
      <alignment horizontal="center"/>
      <protection/>
    </xf>
    <xf numFmtId="0" fontId="187" fillId="33" borderId="0" xfId="61" applyFont="1" applyFill="1" applyBorder="1" applyAlignment="1" applyProtection="1">
      <alignment horizontal="center"/>
      <protection/>
    </xf>
    <xf numFmtId="0" fontId="187" fillId="33" borderId="34" xfId="61" applyFont="1" applyFill="1" applyBorder="1" applyAlignment="1" applyProtection="1">
      <alignment horizontal="center"/>
      <protection/>
    </xf>
    <xf numFmtId="0" fontId="165" fillId="49" borderId="119" xfId="61" applyFont="1" applyFill="1" applyBorder="1" applyAlignment="1" applyProtection="1">
      <alignment horizontal="center"/>
      <protection/>
    </xf>
    <xf numFmtId="0" fontId="31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2" fillId="33" borderId="0" xfId="60" applyNumberFormat="1" applyFont="1" applyFill="1" applyBorder="1" applyAlignment="1" applyProtection="1">
      <alignment horizontal="center"/>
      <protection/>
    </xf>
    <xf numFmtId="0" fontId="185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87" fillId="33" borderId="119" xfId="61" applyFont="1" applyFill="1" applyBorder="1" applyAlignment="1" applyProtection="1">
      <alignment horizontal="center"/>
      <protection/>
    </xf>
    <xf numFmtId="0" fontId="187" fillId="33" borderId="126" xfId="6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7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80" fillId="46" borderId="32" xfId="57" applyNumberFormat="1" applyFont="1" applyFill="1" applyBorder="1" applyAlignment="1" applyProtection="1">
      <alignment horizontal="center" vertical="center"/>
      <protection/>
    </xf>
    <xf numFmtId="186" fontId="180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9" fillId="33" borderId="30" xfId="63" applyFont="1" applyFill="1" applyBorder="1" applyAlignment="1" applyProtection="1">
      <alignment horizontal="center" vertical="center" wrapText="1"/>
      <protection/>
    </xf>
    <xf numFmtId="0" fontId="59" fillId="33" borderId="19" xfId="63" applyFont="1" applyFill="1" applyBorder="1" applyAlignment="1" applyProtection="1">
      <alignment horizontal="center" vertical="center" wrapText="1"/>
      <protection/>
    </xf>
    <xf numFmtId="0" fontId="59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88" fillId="36" borderId="32" xfId="53" applyFont="1" applyFill="1" applyBorder="1" applyAlignment="1" applyProtection="1">
      <alignment horizontal="center" vertical="center"/>
      <protection/>
    </xf>
    <xf numFmtId="0" fontId="188" fillId="36" borderId="47" xfId="53" applyFont="1" applyFill="1" applyBorder="1" applyAlignment="1" applyProtection="1">
      <alignment horizontal="center" vertical="center"/>
      <protection/>
    </xf>
    <xf numFmtId="0" fontId="188" fillId="36" borderId="33" xfId="53" applyFont="1" applyFill="1" applyBorder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5">
        <f>+'Cash-Flow-2018-Leva'!P5</f>
        <v>2018</v>
      </c>
      <c r="M2" s="575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9">
        <f>+'Cash-Flow-2018-Leva'!P5</f>
        <v>2018</v>
      </c>
      <c r="I7" s="579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1">
        <f>+'Cash-Flow-2018-Leva'!P5</f>
        <v>2018</v>
      </c>
      <c r="G34" s="571"/>
      <c r="H34" s="571"/>
      <c r="I34" s="571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6">
        <f>+H7</f>
        <v>2018</v>
      </c>
      <c r="H41" s="576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8">
        <f>+F34-1</f>
        <v>2017</v>
      </c>
      <c r="M44" s="578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7">
        <f>+H7-1</f>
        <v>2017</v>
      </c>
      <c r="H46" s="577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2">
        <f>+'Cash-Flow-2018-Leva'!P5</f>
        <v>2018</v>
      </c>
      <c r="G69" s="572"/>
      <c r="H69" s="572"/>
      <c r="I69" s="572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4">
        <f>+'Cash-Flow-2018-Leva'!P5</f>
        <v>2018</v>
      </c>
      <c r="H70" s="574"/>
      <c r="I70" s="574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3">
        <f>+'Cash-Flow-2018-Leva'!P5</f>
        <v>2018</v>
      </c>
      <c r="G71" s="573"/>
      <c r="H71" s="573"/>
      <c r="I71" s="573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3">
        <f>+'Cash-Flow-2018-Leva'!P5</f>
        <v>2018</v>
      </c>
      <c r="F87" s="573"/>
      <c r="G87" s="573"/>
      <c r="H87" s="573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0">
        <f>+'Cash-Flow-2018-Leva'!P5</f>
        <v>2018</v>
      </c>
      <c r="I89" s="570"/>
      <c r="J89" s="570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7:I7"/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8" sqref="D1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 t="s">
        <v>373</v>
      </c>
      <c r="C1" s="663"/>
      <c r="D1" s="663"/>
      <c r="E1" s="663"/>
      <c r="F1" s="664"/>
      <c r="G1" s="450" t="s">
        <v>253</v>
      </c>
      <c r="H1" s="443"/>
      <c r="I1" s="654"/>
      <c r="J1" s="655"/>
      <c r="K1" s="444"/>
      <c r="L1" s="452" t="s">
        <v>254</v>
      </c>
      <c r="M1" s="448">
        <v>1600</v>
      </c>
      <c r="N1" s="444"/>
      <c r="O1" s="452" t="s">
        <v>246</v>
      </c>
      <c r="P1" s="471"/>
      <c r="Q1" s="445"/>
      <c r="R1" s="360" t="s">
        <v>287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259</v>
      </c>
      <c r="C3" s="670"/>
      <c r="D3" s="670"/>
      <c r="E3" s="670"/>
      <c r="F3" s="671"/>
      <c r="G3" s="451" t="s">
        <v>245</v>
      </c>
      <c r="H3" s="659"/>
      <c r="I3" s="660"/>
      <c r="J3" s="660"/>
      <c r="K3" s="661"/>
      <c r="L3" s="28" t="s">
        <v>255</v>
      </c>
      <c r="M3" s="656"/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 t="str">
        <f>+B1</f>
        <v>МИНИСТЕРСТВО НА ЗДРАВЕОПАЗВАНЕТО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291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28.02.2018 г.</v>
      </c>
      <c r="G11" s="413">
        <f>+P5-1</f>
        <v>2017</v>
      </c>
      <c r="H11" s="15"/>
      <c r="I11" s="118" t="str">
        <f>+O8</f>
        <v>28.02.2018 г.</v>
      </c>
      <c r="J11" s="414">
        <f>+P5-1</f>
        <v>2017</v>
      </c>
      <c r="K11" s="16"/>
      <c r="L11" s="116" t="str">
        <f>+O8</f>
        <v>28.02.2018 г.</v>
      </c>
      <c r="M11" s="415">
        <f>+P5-1</f>
        <v>2017</v>
      </c>
      <c r="N11" s="16"/>
      <c r="O11" s="370" t="str">
        <f>+O8</f>
        <v>28.02.2018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597" t="s">
        <v>155</v>
      </c>
      <c r="S15" s="598"/>
      <c r="T15" s="599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>
        <v>4655223</v>
      </c>
      <c r="G16" s="249">
        <v>28913336</v>
      </c>
      <c r="H16" s="15"/>
      <c r="I16" s="250"/>
      <c r="J16" s="249"/>
      <c r="K16" s="243"/>
      <c r="L16" s="250"/>
      <c r="M16" s="249"/>
      <c r="N16" s="243"/>
      <c r="O16" s="378">
        <f t="shared" si="0"/>
        <v>4655223</v>
      </c>
      <c r="P16" s="401">
        <f t="shared" si="0"/>
        <v>28913336</v>
      </c>
      <c r="Q16" s="31"/>
      <c r="R16" s="633" t="s">
        <v>309</v>
      </c>
      <c r="S16" s="634"/>
      <c r="T16" s="635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302</v>
      </c>
      <c r="S17" s="637"/>
      <c r="T17" s="63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254811</v>
      </c>
      <c r="G18" s="245">
        <v>1288406</v>
      </c>
      <c r="H18" s="15"/>
      <c r="I18" s="246"/>
      <c r="J18" s="245"/>
      <c r="K18" s="243"/>
      <c r="L18" s="246"/>
      <c r="M18" s="245"/>
      <c r="N18" s="243"/>
      <c r="O18" s="382">
        <f t="shared" si="0"/>
        <v>254811</v>
      </c>
      <c r="P18" s="395">
        <f t="shared" si="0"/>
        <v>1288406</v>
      </c>
      <c r="Q18" s="31"/>
      <c r="R18" s="597" t="s">
        <v>156</v>
      </c>
      <c r="S18" s="598"/>
      <c r="T18" s="599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925829</v>
      </c>
      <c r="G19" s="247">
        <v>4670919</v>
      </c>
      <c r="H19" s="15"/>
      <c r="I19" s="248"/>
      <c r="J19" s="247"/>
      <c r="K19" s="243"/>
      <c r="L19" s="248"/>
      <c r="M19" s="247"/>
      <c r="N19" s="243"/>
      <c r="O19" s="377">
        <f t="shared" si="0"/>
        <v>925829</v>
      </c>
      <c r="P19" s="429">
        <f t="shared" si="0"/>
        <v>4670919</v>
      </c>
      <c r="Q19" s="31"/>
      <c r="R19" s="583" t="s">
        <v>157</v>
      </c>
      <c r="S19" s="584"/>
      <c r="T19" s="58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54207</v>
      </c>
      <c r="G20" s="247">
        <v>358521</v>
      </c>
      <c r="H20" s="15"/>
      <c r="I20" s="248"/>
      <c r="J20" s="247"/>
      <c r="K20" s="243"/>
      <c r="L20" s="248"/>
      <c r="M20" s="247"/>
      <c r="N20" s="243"/>
      <c r="O20" s="377">
        <f t="shared" si="0"/>
        <v>54207</v>
      </c>
      <c r="P20" s="429">
        <f t="shared" si="0"/>
        <v>358521</v>
      </c>
      <c r="Q20" s="31"/>
      <c r="R20" s="583" t="s">
        <v>158</v>
      </c>
      <c r="S20" s="584"/>
      <c r="T20" s="58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0</v>
      </c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583" t="s">
        <v>159</v>
      </c>
      <c r="S21" s="584"/>
      <c r="T21" s="58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174</v>
      </c>
      <c r="G22" s="247">
        <v>6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174</v>
      </c>
      <c r="P22" s="429">
        <f t="shared" si="0"/>
        <v>6</v>
      </c>
      <c r="Q22" s="31"/>
      <c r="R22" s="583" t="s">
        <v>160</v>
      </c>
      <c r="S22" s="584"/>
      <c r="T22" s="58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>
        <v>0</v>
      </c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8232</v>
      </c>
      <c r="G24" s="249">
        <v>34773</v>
      </c>
      <c r="H24" s="15"/>
      <c r="I24" s="250">
        <v>-91</v>
      </c>
      <c r="J24" s="249">
        <v>-111</v>
      </c>
      <c r="K24" s="243"/>
      <c r="L24" s="250"/>
      <c r="M24" s="249"/>
      <c r="N24" s="243"/>
      <c r="O24" s="378">
        <f t="shared" si="0"/>
        <v>8141</v>
      </c>
      <c r="P24" s="401">
        <f t="shared" si="0"/>
        <v>34662</v>
      </c>
      <c r="Q24" s="31"/>
      <c r="R24" s="618" t="s">
        <v>303</v>
      </c>
      <c r="S24" s="619"/>
      <c r="T24" s="620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5898476</v>
      </c>
      <c r="G25" s="251">
        <f>+ROUND(+SUM(G15,G16,G18,G19,G20,G21,G22,G23,G24),0)</f>
        <v>35265961</v>
      </c>
      <c r="H25" s="15"/>
      <c r="I25" s="252">
        <f>+ROUND(+SUM(I15,I16,I18,I19,I20,I21,I22,I23,I24),0)</f>
        <v>-91</v>
      </c>
      <c r="J25" s="251">
        <f>+ROUND(+SUM(J15,J16,J18,J19,J20,J21,J22,J23,J24),0)</f>
        <v>-111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5898385</v>
      </c>
      <c r="P25" s="380">
        <f>+ROUND(+SUM(P15,P16,P18,P19,P20,P21,P22,P23,P24),0)</f>
        <v>35265850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2320</v>
      </c>
      <c r="G28" s="247">
        <v>10006</v>
      </c>
      <c r="H28" s="15"/>
      <c r="I28" s="248"/>
      <c r="J28" s="247"/>
      <c r="K28" s="243"/>
      <c r="L28" s="248"/>
      <c r="M28" s="247"/>
      <c r="N28" s="243"/>
      <c r="O28" s="377">
        <f t="shared" si="1"/>
        <v>2320</v>
      </c>
      <c r="P28" s="429">
        <f t="shared" si="1"/>
        <v>10006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2320</v>
      </c>
      <c r="G30" s="251">
        <f>+ROUND(+SUM(G27:G29),0)</f>
        <v>10006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2320</v>
      </c>
      <c r="P30" s="380">
        <f>+ROUND(+SUM(P27:P29),0)</f>
        <v>10006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-63031</v>
      </c>
      <c r="G37" s="263">
        <v>-356331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-63031</v>
      </c>
      <c r="P37" s="380">
        <f t="shared" si="2"/>
        <v>-356331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-923</v>
      </c>
      <c r="G38" s="265">
        <v>-6882</v>
      </c>
      <c r="H38" s="15"/>
      <c r="I38" s="266"/>
      <c r="J38" s="265"/>
      <c r="K38" s="243"/>
      <c r="L38" s="266"/>
      <c r="M38" s="265"/>
      <c r="N38" s="243"/>
      <c r="O38" s="392">
        <f t="shared" si="2"/>
        <v>-923</v>
      </c>
      <c r="P38" s="430">
        <f t="shared" si="2"/>
        <v>-6882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-10790</v>
      </c>
      <c r="G39" s="267">
        <v>-61361</v>
      </c>
      <c r="H39" s="15"/>
      <c r="I39" s="268"/>
      <c r="J39" s="267"/>
      <c r="K39" s="243"/>
      <c r="L39" s="268"/>
      <c r="M39" s="267"/>
      <c r="N39" s="243"/>
      <c r="O39" s="393">
        <f t="shared" si="2"/>
        <v>-10790</v>
      </c>
      <c r="P39" s="431">
        <f t="shared" si="2"/>
        <v>-61361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6090</v>
      </c>
      <c r="G42" s="263">
        <v>19978</v>
      </c>
      <c r="H42" s="15"/>
      <c r="I42" s="264"/>
      <c r="J42" s="263"/>
      <c r="K42" s="243"/>
      <c r="L42" s="264"/>
      <c r="M42" s="263"/>
      <c r="N42" s="243"/>
      <c r="O42" s="379">
        <f>+ROUND(+F42+I42+L42,0)</f>
        <v>6090</v>
      </c>
      <c r="P42" s="380">
        <f>+ROUND(+G42+J42+M42,0)</f>
        <v>19978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>
        <v>1503</v>
      </c>
      <c r="G44" s="245">
        <v>1647</v>
      </c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1503</v>
      </c>
      <c r="P44" s="395">
        <f t="shared" si="3"/>
        <v>1647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>
        <v>814498</v>
      </c>
      <c r="G45" s="247">
        <v>3022082</v>
      </c>
      <c r="H45" s="15"/>
      <c r="I45" s="248">
        <v>181295</v>
      </c>
      <c r="J45" s="247">
        <v>246229</v>
      </c>
      <c r="K45" s="243"/>
      <c r="L45" s="248"/>
      <c r="M45" s="247"/>
      <c r="N45" s="243"/>
      <c r="O45" s="377">
        <f t="shared" si="3"/>
        <v>995793</v>
      </c>
      <c r="P45" s="429">
        <f t="shared" si="3"/>
        <v>3268311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>
        <v>0</v>
      </c>
      <c r="G46" s="247"/>
      <c r="H46" s="15"/>
      <c r="I46" s="248">
        <v>30252</v>
      </c>
      <c r="J46" s="247">
        <v>174800</v>
      </c>
      <c r="K46" s="243"/>
      <c r="L46" s="248"/>
      <c r="M46" s="247"/>
      <c r="N46" s="243"/>
      <c r="O46" s="377">
        <f t="shared" si="3"/>
        <v>30252</v>
      </c>
      <c r="P46" s="429">
        <f t="shared" si="3"/>
        <v>174800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>
        <v>17367</v>
      </c>
      <c r="G47" s="249">
        <v>345656</v>
      </c>
      <c r="H47" s="15"/>
      <c r="I47" s="250"/>
      <c r="J47" s="249"/>
      <c r="K47" s="243"/>
      <c r="L47" s="250"/>
      <c r="M47" s="249"/>
      <c r="N47" s="243"/>
      <c r="O47" s="378">
        <f t="shared" si="3"/>
        <v>17367</v>
      </c>
      <c r="P47" s="401">
        <f t="shared" si="3"/>
        <v>345656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833368</v>
      </c>
      <c r="G48" s="251">
        <f>+ROUND(+SUM(G44:G47),0)</f>
        <v>3369385</v>
      </c>
      <c r="H48" s="15"/>
      <c r="I48" s="252">
        <f>+ROUND(+SUM(I44:I47),0)</f>
        <v>211547</v>
      </c>
      <c r="J48" s="251">
        <f>+ROUND(+SUM(J44:J47),0)</f>
        <v>421029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1044915</v>
      </c>
      <c r="P48" s="380">
        <f>+ROUND(+SUM(P44:P47),0)</f>
        <v>3790414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6677223</v>
      </c>
      <c r="G50" s="273">
        <f>+ROUND(G25+G30+G37+G42+G48,0)</f>
        <v>38308999</v>
      </c>
      <c r="H50" s="15"/>
      <c r="I50" s="274">
        <f>+ROUND(I25+I30+I37+I42+I48,0)</f>
        <v>211456</v>
      </c>
      <c r="J50" s="273">
        <f>+ROUND(J25+J30+J37+J42+J48,0)</f>
        <v>420918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6888679</v>
      </c>
      <c r="P50" s="397">
        <f>+ROUND(P25+P30+P37+P42+P48,0)</f>
        <v>38729917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18357312</v>
      </c>
      <c r="G53" s="275">
        <v>131151643</v>
      </c>
      <c r="H53" s="15"/>
      <c r="I53" s="276">
        <v>59741</v>
      </c>
      <c r="J53" s="275">
        <v>2584980</v>
      </c>
      <c r="K53" s="243"/>
      <c r="L53" s="276"/>
      <c r="M53" s="275"/>
      <c r="N53" s="243"/>
      <c r="O53" s="383">
        <f aca="true" t="shared" si="4" ref="O53:P57">+ROUND(+F53+I53+L53,0)</f>
        <v>18417053</v>
      </c>
      <c r="P53" s="376">
        <f t="shared" si="4"/>
        <v>133736623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232603</v>
      </c>
      <c r="G54" s="249">
        <v>1470209</v>
      </c>
      <c r="H54" s="15"/>
      <c r="I54" s="250">
        <v>114</v>
      </c>
      <c r="J54" s="249">
        <v>318</v>
      </c>
      <c r="K54" s="243"/>
      <c r="L54" s="250"/>
      <c r="M54" s="249"/>
      <c r="N54" s="243"/>
      <c r="O54" s="378">
        <f t="shared" si="4"/>
        <v>232717</v>
      </c>
      <c r="P54" s="401">
        <f t="shared" si="4"/>
        <v>1470527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205491</v>
      </c>
      <c r="G55" s="249">
        <v>810187</v>
      </c>
      <c r="H55" s="15"/>
      <c r="I55" s="250">
        <v>0</v>
      </c>
      <c r="J55" s="249"/>
      <c r="K55" s="243"/>
      <c r="L55" s="250"/>
      <c r="M55" s="249"/>
      <c r="N55" s="243"/>
      <c r="O55" s="378">
        <f t="shared" si="4"/>
        <v>205491</v>
      </c>
      <c r="P55" s="401">
        <f t="shared" si="4"/>
        <v>810187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27078055</v>
      </c>
      <c r="G56" s="249">
        <v>172740778</v>
      </c>
      <c r="H56" s="15"/>
      <c r="I56" s="250">
        <v>21028</v>
      </c>
      <c r="J56" s="249">
        <v>635846</v>
      </c>
      <c r="K56" s="243"/>
      <c r="L56" s="250"/>
      <c r="M56" s="249"/>
      <c r="N56" s="243"/>
      <c r="O56" s="378">
        <f t="shared" si="4"/>
        <v>27099083</v>
      </c>
      <c r="P56" s="401">
        <f t="shared" si="4"/>
        <v>173376624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5458176</v>
      </c>
      <c r="G57" s="249">
        <v>33803767</v>
      </c>
      <c r="H57" s="15"/>
      <c r="I57" s="250">
        <v>1963</v>
      </c>
      <c r="J57" s="249">
        <v>52551</v>
      </c>
      <c r="K57" s="243"/>
      <c r="L57" s="250"/>
      <c r="M57" s="249"/>
      <c r="N57" s="243"/>
      <c r="O57" s="378">
        <f t="shared" si="4"/>
        <v>5460139</v>
      </c>
      <c r="P57" s="401">
        <f t="shared" si="4"/>
        <v>33856318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51331637</v>
      </c>
      <c r="G58" s="277">
        <f>+ROUND(+SUM(G53:G57),0)</f>
        <v>339976584</v>
      </c>
      <c r="H58" s="15"/>
      <c r="I58" s="278">
        <f>+ROUND(+SUM(I53:I57),0)</f>
        <v>82846</v>
      </c>
      <c r="J58" s="277">
        <f>+ROUND(+SUM(J53:J57),0)</f>
        <v>3273695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51414483</v>
      </c>
      <c r="P58" s="399">
        <f>+ROUND(+SUM(P53:P57),0)</f>
        <v>343250279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4238</v>
      </c>
      <c r="G61" s="249">
        <v>914401</v>
      </c>
      <c r="H61" s="15"/>
      <c r="I61" s="250"/>
      <c r="J61" s="249">
        <v>6498745</v>
      </c>
      <c r="K61" s="243"/>
      <c r="L61" s="250"/>
      <c r="M61" s="249"/>
      <c r="N61" s="243"/>
      <c r="O61" s="378">
        <f t="shared" si="5"/>
        <v>4238</v>
      </c>
      <c r="P61" s="401">
        <f t="shared" si="5"/>
        <v>7413146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>
        <v>287102</v>
      </c>
      <c r="H62" s="15"/>
      <c r="I62" s="250"/>
      <c r="J62" s="249">
        <v>72336</v>
      </c>
      <c r="K62" s="243"/>
      <c r="L62" s="250"/>
      <c r="M62" s="249"/>
      <c r="N62" s="243"/>
      <c r="O62" s="378">
        <f t="shared" si="5"/>
        <v>0</v>
      </c>
      <c r="P62" s="401">
        <f t="shared" si="5"/>
        <v>359438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4238</v>
      </c>
      <c r="G65" s="277">
        <f>+ROUND(+SUM(G60:G63),0)</f>
        <v>1201503</v>
      </c>
      <c r="H65" s="15"/>
      <c r="I65" s="278">
        <f>+ROUND(+SUM(I60:I63),0)</f>
        <v>0</v>
      </c>
      <c r="J65" s="277">
        <f>+ROUND(+SUM(J60:J63),0)</f>
        <v>6571081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4238</v>
      </c>
      <c r="P65" s="399">
        <f>+ROUND(+SUM(P60:P63),0)</f>
        <v>7772584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>
        <v>62911</v>
      </c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62911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62911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62911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1602365</v>
      </c>
      <c r="G71" s="275">
        <v>23324279</v>
      </c>
      <c r="H71" s="15"/>
      <c r="I71" s="276"/>
      <c r="J71" s="275">
        <v>344689</v>
      </c>
      <c r="K71" s="243"/>
      <c r="L71" s="276"/>
      <c r="M71" s="275"/>
      <c r="N71" s="243"/>
      <c r="O71" s="383">
        <f>+ROUND(+F71+I71+L71,0)</f>
        <v>1602365</v>
      </c>
      <c r="P71" s="376">
        <f>+ROUND(+G71+J71+M71,0)</f>
        <v>23668968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1602365</v>
      </c>
      <c r="G73" s="277">
        <f>+ROUND(+SUM(G71:G72),0)</f>
        <v>23324279</v>
      </c>
      <c r="H73" s="15"/>
      <c r="I73" s="278">
        <f>+ROUND(+SUM(I71:I72),0)</f>
        <v>0</v>
      </c>
      <c r="J73" s="277">
        <f>+ROUND(+SUM(J71:J72),0)</f>
        <v>344689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1602365</v>
      </c>
      <c r="P73" s="399">
        <f>+ROUND(+SUM(P71:P72),0)</f>
        <v>23668968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4973065</v>
      </c>
      <c r="G75" s="275">
        <v>101270914</v>
      </c>
      <c r="H75" s="15"/>
      <c r="I75" s="276"/>
      <c r="J75" s="275"/>
      <c r="K75" s="243"/>
      <c r="L75" s="276"/>
      <c r="M75" s="275"/>
      <c r="N75" s="243"/>
      <c r="O75" s="383">
        <f>+ROUND(+F75+I75+L75,0)</f>
        <v>4973065</v>
      </c>
      <c r="P75" s="376">
        <f>+ROUND(+G75+J75+M75,0)</f>
        <v>101270914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>
        <v>-31076</v>
      </c>
      <c r="G76" s="249">
        <v>11610329</v>
      </c>
      <c r="H76" s="15"/>
      <c r="I76" s="250"/>
      <c r="J76" s="249"/>
      <c r="K76" s="243"/>
      <c r="L76" s="250"/>
      <c r="M76" s="249"/>
      <c r="N76" s="243"/>
      <c r="O76" s="378">
        <f>+ROUND(+F76+I76+L76,0)</f>
        <v>-31076</v>
      </c>
      <c r="P76" s="401">
        <f>+ROUND(+G76+J76+M76,0)</f>
        <v>11610329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4941989</v>
      </c>
      <c r="G77" s="277">
        <f>+ROUND(+SUM(G75:G76),0)</f>
        <v>112881243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4941989</v>
      </c>
      <c r="P77" s="399">
        <f>+ROUND(+SUM(P75:P76),0)</f>
        <v>112881243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57880229</v>
      </c>
      <c r="G79" s="288">
        <f>+ROUND(G58+G65+G69+G73+G77,0)</f>
        <v>477446520</v>
      </c>
      <c r="H79" s="15"/>
      <c r="I79" s="285">
        <f>+ROUND(I58+I65+I69+I73+I77,0)</f>
        <v>82846</v>
      </c>
      <c r="J79" s="288">
        <f>+ROUND(J58+J65+J69+J73+J77,0)</f>
        <v>10189465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57963075</v>
      </c>
      <c r="P79" s="409">
        <f>+ROUND(P58+P65+P69+P73+P77,0)</f>
        <v>487635985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51929513</v>
      </c>
      <c r="G81" s="245">
        <v>449303850</v>
      </c>
      <c r="H81" s="15"/>
      <c r="I81" s="246">
        <v>222702</v>
      </c>
      <c r="J81" s="245">
        <v>9384366</v>
      </c>
      <c r="K81" s="243"/>
      <c r="L81" s="246"/>
      <c r="M81" s="245"/>
      <c r="N81" s="243"/>
      <c r="O81" s="382">
        <f>+ROUND(+F81+I81+L81,0)</f>
        <v>52152215</v>
      </c>
      <c r="P81" s="395">
        <f>+ROUND(+G81+J81+M81,0)</f>
        <v>458688216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51929513</v>
      </c>
      <c r="G83" s="286">
        <f>+ROUND(G81+G82,0)</f>
        <v>449303850</v>
      </c>
      <c r="H83" s="15"/>
      <c r="I83" s="287">
        <f>+ROUND(I81+I82,0)</f>
        <v>222702</v>
      </c>
      <c r="J83" s="286">
        <f>+ROUND(J81+J82,0)</f>
        <v>9384366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52152215</v>
      </c>
      <c r="P83" s="404">
        <f>+ROUND(P81+P82,0)</f>
        <v>458688216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726507</v>
      </c>
      <c r="G85" s="307">
        <f>+ROUND(G50,0)-ROUND(G79,0)+ROUND(G83,0)</f>
        <v>10166329</v>
      </c>
      <c r="H85" s="15"/>
      <c r="I85" s="308">
        <f>+ROUND(I50,0)-ROUND(I79,0)+ROUND(I83,0)</f>
        <v>351312</v>
      </c>
      <c r="J85" s="307">
        <f>+ROUND(J50,0)-ROUND(J79,0)+ROUND(J83,0)</f>
        <v>-384181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1077819</v>
      </c>
      <c r="P85" s="406">
        <f>+ROUND(P50,0)-ROUND(P79,0)+ROUND(P83,0)</f>
        <v>9782148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-726507</v>
      </c>
      <c r="G86" s="309">
        <f>+ROUND(G103,0)+ROUND(G122,0)+ROUND(G129,0)-ROUND(G134,0)</f>
        <v>-10166329</v>
      </c>
      <c r="H86" s="15"/>
      <c r="I86" s="310">
        <f>+ROUND(I103,0)+ROUND(I122,0)+ROUND(I129,0)-ROUND(I134,0)</f>
        <v>-351312</v>
      </c>
      <c r="J86" s="309">
        <f>+ROUND(J103,0)+ROUND(J122,0)+ROUND(J129,0)-ROUND(J134,0)</f>
        <v>384181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-1077819</v>
      </c>
      <c r="P86" s="408">
        <f>+ROUND(P103,0)+ROUND(P122,0)+ROUND(P129,0)-ROUND(P134,0)</f>
        <v>-9782148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>
        <v>129630</v>
      </c>
      <c r="G94" s="249">
        <v>777778</v>
      </c>
      <c r="H94" s="15"/>
      <c r="I94" s="250"/>
      <c r="J94" s="249"/>
      <c r="K94" s="243"/>
      <c r="L94" s="250"/>
      <c r="M94" s="249"/>
      <c r="N94" s="243"/>
      <c r="O94" s="378">
        <f t="shared" si="6"/>
        <v>129630</v>
      </c>
      <c r="P94" s="401">
        <f t="shared" si="6"/>
        <v>777778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129630</v>
      </c>
      <c r="G97" s="251">
        <f>+ROUND(+SUM(G93:G96),0)</f>
        <v>777778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129630</v>
      </c>
      <c r="P97" s="380">
        <f>+ROUND(+SUM(P93:P96),0)</f>
        <v>777778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37081</v>
      </c>
      <c r="G100" s="249">
        <v>-34753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37081</v>
      </c>
      <c r="P100" s="401">
        <f>+ROUND(+G100+J100+M100,0)</f>
        <v>-34753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37081</v>
      </c>
      <c r="G101" s="251">
        <f>+ROUND(+SUM(G99:G100),0)</f>
        <v>-34753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37081</v>
      </c>
      <c r="P101" s="380">
        <f>+ROUND(+SUM(P99:P100),0)</f>
        <v>-34753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166711</v>
      </c>
      <c r="G103" s="273">
        <f>+ROUND(G91+G97+G101,0)</f>
        <v>743025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166711</v>
      </c>
      <c r="P103" s="397">
        <f>+ROUND(P91+P97+P101,0)</f>
        <v>743025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>
        <v>-10782957</v>
      </c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-10782957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-10782957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-10782957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>
        <v>-6941</v>
      </c>
      <c r="G118" s="275">
        <v>-36601</v>
      </c>
      <c r="H118" s="15"/>
      <c r="I118" s="276"/>
      <c r="J118" s="275"/>
      <c r="K118" s="243"/>
      <c r="L118" s="276">
        <v>-716309</v>
      </c>
      <c r="M118" s="275">
        <v>781519</v>
      </c>
      <c r="N118" s="243"/>
      <c r="O118" s="383">
        <f>+ROUND(+F118+I118+L118,0)</f>
        <v>-723250</v>
      </c>
      <c r="P118" s="376">
        <f>+ROUND(+G118+J118+M118,0)</f>
        <v>744918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>
        <v>195</v>
      </c>
      <c r="G119" s="249">
        <v>5096</v>
      </c>
      <c r="H119" s="15"/>
      <c r="I119" s="250"/>
      <c r="J119" s="249"/>
      <c r="K119" s="243"/>
      <c r="L119" s="250"/>
      <c r="M119" s="249"/>
      <c r="N119" s="243"/>
      <c r="O119" s="378">
        <f>+ROUND(+F119+I119+L119,0)</f>
        <v>195</v>
      </c>
      <c r="P119" s="401">
        <f>+ROUND(+G119+J119+M119,0)</f>
        <v>5096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-6746</v>
      </c>
      <c r="G120" s="277">
        <f>+ROUND(+SUM(G118:G119),0)</f>
        <v>-31505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-716309</v>
      </c>
      <c r="M120" s="277">
        <f>+ROUND(+SUM(M118:M119),0)</f>
        <v>781519</v>
      </c>
      <c r="N120" s="243"/>
      <c r="O120" s="398">
        <f>+ROUND(+SUM(O118:O119),0)</f>
        <v>-723055</v>
      </c>
      <c r="P120" s="399">
        <f>+ROUND(+SUM(P118:P119),0)</f>
        <v>750014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-6746</v>
      </c>
      <c r="G122" s="288">
        <f>+ROUND(G108+G112+G116+G120,0)</f>
        <v>-10814462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-716309</v>
      </c>
      <c r="M122" s="288">
        <f>+ROUND(M108+M112+M116+M120,0)</f>
        <v>781519</v>
      </c>
      <c r="N122" s="243"/>
      <c r="O122" s="402">
        <f>+ROUND(O108+O112+O116+O120,0)</f>
        <v>-723055</v>
      </c>
      <c r="P122" s="409">
        <f>+ROUND(P108+P112+P116+P120,0)</f>
        <v>-10032943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257572</v>
      </c>
      <c r="G125" s="249">
        <v>-362092</v>
      </c>
      <c r="H125" s="15"/>
      <c r="I125" s="250">
        <v>-348930</v>
      </c>
      <c r="J125" s="249">
        <v>355019</v>
      </c>
      <c r="K125" s="243"/>
      <c r="L125" s="250"/>
      <c r="M125" s="249"/>
      <c r="N125" s="243"/>
      <c r="O125" s="378">
        <f t="shared" si="7"/>
        <v>-91358</v>
      </c>
      <c r="P125" s="401">
        <f t="shared" si="7"/>
        <v>-7073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-383484</v>
      </c>
      <c r="G126" s="249">
        <v>-52423</v>
      </c>
      <c r="H126" s="15"/>
      <c r="I126" s="250">
        <v>96</v>
      </c>
      <c r="J126" s="249">
        <v>52423</v>
      </c>
      <c r="K126" s="243"/>
      <c r="L126" s="250"/>
      <c r="M126" s="249"/>
      <c r="N126" s="243"/>
      <c r="O126" s="378">
        <f t="shared" si="7"/>
        <v>-383388</v>
      </c>
      <c r="P126" s="401">
        <f t="shared" si="7"/>
        <v>0</v>
      </c>
      <c r="Q126" s="31"/>
      <c r="R126" s="612" t="s">
        <v>328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305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-125912</v>
      </c>
      <c r="G129" s="286">
        <f>+ROUND(+SUM(G124,G125,G126,G128),0)</f>
        <v>-414515</v>
      </c>
      <c r="H129" s="15"/>
      <c r="I129" s="287">
        <f>+ROUND(+SUM(I124,I125,I126,I128),0)</f>
        <v>-348834</v>
      </c>
      <c r="J129" s="286">
        <f>+ROUND(+SUM(J124,J125,J126,J128),0)</f>
        <v>407442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-474746</v>
      </c>
      <c r="P129" s="404">
        <f>+ROUND(+SUM(P124,P125,P126,P128),0)</f>
        <v>-7073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2861044</v>
      </c>
      <c r="G131" s="245">
        <v>3214939</v>
      </c>
      <c r="H131" s="15"/>
      <c r="I131" s="246"/>
      <c r="J131" s="245"/>
      <c r="K131" s="243"/>
      <c r="L131" s="246">
        <v>2364139</v>
      </c>
      <c r="M131" s="245">
        <v>1582619</v>
      </c>
      <c r="N131" s="243"/>
      <c r="O131" s="382">
        <f aca="true" t="shared" si="8" ref="O131:P133">+ROUND(+F131+I131+L131,0)</f>
        <v>5225183</v>
      </c>
      <c r="P131" s="395">
        <f t="shared" si="8"/>
        <v>4797558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-4312</v>
      </c>
      <c r="G132" s="249">
        <v>-34273</v>
      </c>
      <c r="H132" s="15"/>
      <c r="I132" s="250">
        <v>-2478</v>
      </c>
      <c r="J132" s="249">
        <v>-23261</v>
      </c>
      <c r="K132" s="243"/>
      <c r="L132" s="250">
        <v>0</v>
      </c>
      <c r="M132" s="249"/>
      <c r="N132" s="243"/>
      <c r="O132" s="378">
        <f t="shared" si="8"/>
        <v>-6790</v>
      </c>
      <c r="P132" s="401">
        <f t="shared" si="8"/>
        <v>-57534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3617292</v>
      </c>
      <c r="G133" s="249">
        <v>2861043</v>
      </c>
      <c r="H133" s="15"/>
      <c r="I133" s="250"/>
      <c r="J133" s="249"/>
      <c r="K133" s="243"/>
      <c r="L133" s="250">
        <v>1647830</v>
      </c>
      <c r="M133" s="249">
        <v>2364138</v>
      </c>
      <c r="N133" s="243"/>
      <c r="O133" s="378">
        <f t="shared" si="8"/>
        <v>5265122</v>
      </c>
      <c r="P133" s="401">
        <f t="shared" si="8"/>
        <v>5225181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760560</v>
      </c>
      <c r="G134" s="291">
        <f>+ROUND(+G133-G131-G132,0)</f>
        <v>-319623</v>
      </c>
      <c r="H134" s="15"/>
      <c r="I134" s="292">
        <f>+ROUND(+I133-I131-I132,0)</f>
        <v>2478</v>
      </c>
      <c r="J134" s="291">
        <f>+ROUND(+J133-J131-J132,0)</f>
        <v>23261</v>
      </c>
      <c r="K134" s="243"/>
      <c r="L134" s="292">
        <f>+ROUND(+L133-L131-L132,0)</f>
        <v>-716309</v>
      </c>
      <c r="M134" s="291">
        <f>+ROUND(+M133-M131-M132,0)</f>
        <v>781519</v>
      </c>
      <c r="N134" s="243"/>
      <c r="O134" s="411">
        <f>+ROUND(+O133-O131-O132,0)</f>
        <v>46729</v>
      </c>
      <c r="P134" s="412">
        <f>+ROUND(+P133-P131-P132,0)</f>
        <v>485157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/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/>
      <c r="G143" s="666"/>
      <c r="H143" s="666"/>
      <c r="I143" s="667"/>
      <c r="J143" s="362"/>
      <c r="K143" s="16"/>
      <c r="L143" s="362" t="s">
        <v>241</v>
      </c>
      <c r="M143" s="665"/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 t="str">
        <f>+'Cash-Flow-2018-Leva'!B1:F1</f>
        <v>МИНИСТЕРСТВО НА ЗДРАВЕОПАЗВАНЕТО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0</v>
      </c>
      <c r="J1" s="689"/>
      <c r="K1" s="456"/>
      <c r="L1" s="457" t="s">
        <v>254</v>
      </c>
      <c r="M1" s="458">
        <f>+'Cash-Flow-2018-Leva'!M1</f>
        <v>1600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[Седалище и адрес]</v>
      </c>
      <c r="C3" s="696"/>
      <c r="D3" s="696"/>
      <c r="E3" s="696"/>
      <c r="F3" s="697"/>
      <c r="G3" s="462" t="s">
        <v>245</v>
      </c>
      <c r="H3" s="698">
        <f>+'Cash-Flow-2018-Leva'!H3</f>
        <v>0</v>
      </c>
      <c r="I3" s="699"/>
      <c r="J3" s="699"/>
      <c r="K3" s="700"/>
      <c r="L3" s="51" t="s">
        <v>255</v>
      </c>
      <c r="M3" s="701">
        <f>+'Cash-Flow-2018-Leva'!M3:P3</f>
        <v>0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 t="str">
        <f>+B1</f>
        <v>МИНИСТЕРСТВО НА ЗДРАВЕОПАЗВАНЕТО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28.02.2018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28.02.2018 г.</v>
      </c>
      <c r="G11" s="413">
        <f>+'Cash-Flow-2018-Leva'!G11</f>
        <v>2017</v>
      </c>
      <c r="H11" s="5"/>
      <c r="I11" s="118" t="str">
        <f>+O8</f>
        <v>28.02.2018 г.</v>
      </c>
      <c r="J11" s="414">
        <f>+'Cash-Flow-2018-Leva'!J11</f>
        <v>2017</v>
      </c>
      <c r="K11" s="5"/>
      <c r="L11" s="116" t="str">
        <f>+O8</f>
        <v>28.02.2018 г.</v>
      </c>
      <c r="M11" s="415">
        <f>+'Cash-Flow-2018-Leva'!M11</f>
        <v>2017</v>
      </c>
      <c r="N11" s="482"/>
      <c r="O11" s="370" t="str">
        <f>+O8</f>
        <v>28.02.2018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4655.223</v>
      </c>
      <c r="G16" s="283">
        <f>+'Cash-Flow-2018-Leva'!G16/1000</f>
        <v>28913.336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4655.223</v>
      </c>
      <c r="P16" s="401">
        <f t="shared" si="1"/>
        <v>28913.336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254.811</v>
      </c>
      <c r="G18" s="271">
        <f>+'Cash-Flow-2018-Leva'!G18/1000</f>
        <v>1288.406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254.811</v>
      </c>
      <c r="P18" s="395">
        <f t="shared" si="1"/>
        <v>1288.406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925.829</v>
      </c>
      <c r="G19" s="294">
        <f>+'Cash-Flow-2018-Leva'!G19/1000</f>
        <v>4670.919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925.829</v>
      </c>
      <c r="P19" s="429">
        <f t="shared" si="1"/>
        <v>4670.919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54.207</v>
      </c>
      <c r="G20" s="294">
        <f>+'Cash-Flow-2018-Leva'!G20/1000</f>
        <v>358.521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54.207</v>
      </c>
      <c r="P20" s="429">
        <f t="shared" si="1"/>
        <v>358.521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0.174</v>
      </c>
      <c r="G22" s="294">
        <f>+'Cash-Flow-2018-Leva'!G22/1000</f>
        <v>0.006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0.174</v>
      </c>
      <c r="P22" s="429">
        <f t="shared" si="1"/>
        <v>0.006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8.232</v>
      </c>
      <c r="G24" s="283">
        <f>+'Cash-Flow-2018-Leva'!G24/1000</f>
        <v>34.773</v>
      </c>
      <c r="H24" s="293"/>
      <c r="I24" s="284">
        <f>+'Cash-Flow-2018-Leva'!I24/1000</f>
        <v>-0.091</v>
      </c>
      <c r="J24" s="283">
        <f>+'Cash-Flow-2018-Leva'!J24/1000</f>
        <v>-0.111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8.141</v>
      </c>
      <c r="P24" s="401">
        <f t="shared" si="1"/>
        <v>34.662000000000006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5898.476</v>
      </c>
      <c r="G25" s="251">
        <f>+SUM(G15,G16,G18,G19,G20,G21,G22,G23,G24)</f>
        <v>35265.961</v>
      </c>
      <c r="H25" s="293"/>
      <c r="I25" s="252">
        <f>+SUM(I15,I16,I18,I19,I20,I21,I22,I23,I24)</f>
        <v>-0.091</v>
      </c>
      <c r="J25" s="251">
        <f>+SUM(J15,J16,J18,J19,J20,J21,J22,J23,J24)</f>
        <v>-0.111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5898.384999999999</v>
      </c>
      <c r="P25" s="380">
        <f>+SUM(P15,P16,P18,P19,P20,P21,P22,P23,P24)</f>
        <v>35265.85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2.32</v>
      </c>
      <c r="G28" s="294">
        <f>+'Cash-Flow-2018-Leva'!G28/1000</f>
        <v>10.006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2.32</v>
      </c>
      <c r="P28" s="429">
        <f t="shared" si="2"/>
        <v>10.006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2.32</v>
      </c>
      <c r="G30" s="251">
        <f>+SUM(G27:G29)</f>
        <v>10.006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2.32</v>
      </c>
      <c r="P30" s="380">
        <f>+SUM(P27:P29)</f>
        <v>10.006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-63.031</v>
      </c>
      <c r="G37" s="251">
        <f>+'Cash-Flow-2018-Leva'!G37/1000</f>
        <v>-356.331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-63.031</v>
      </c>
      <c r="P37" s="380">
        <f t="shared" si="3"/>
        <v>-356.331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-0.923</v>
      </c>
      <c r="G38" s="296">
        <f>+'Cash-Flow-2018-Leva'!G38/1000</f>
        <v>-6.882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-0.923</v>
      </c>
      <c r="P38" s="430">
        <f t="shared" si="3"/>
        <v>-6.882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-10.79</v>
      </c>
      <c r="G39" s="298">
        <f>+'Cash-Flow-2018-Leva'!G39/1000</f>
        <v>-61.361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-10.79</v>
      </c>
      <c r="P39" s="431">
        <f t="shared" si="3"/>
        <v>-61.361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6.09</v>
      </c>
      <c r="G42" s="251">
        <f>+'Cash-Flow-2018-Leva'!G42/1000</f>
        <v>19.978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6.09</v>
      </c>
      <c r="P42" s="380">
        <f>+G42+J42+M42</f>
        <v>19.978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1.503</v>
      </c>
      <c r="G44" s="271">
        <f>+'Cash-Flow-2018-Leva'!G44/1000</f>
        <v>1.647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1.503</v>
      </c>
      <c r="P44" s="395">
        <f t="shared" si="4"/>
        <v>1.647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814.498</v>
      </c>
      <c r="G45" s="294">
        <f>+'Cash-Flow-2018-Leva'!G45/1000</f>
        <v>3022.082</v>
      </c>
      <c r="H45" s="293"/>
      <c r="I45" s="295">
        <f>+'Cash-Flow-2018-Leva'!I45/1000</f>
        <v>181.295</v>
      </c>
      <c r="J45" s="294">
        <f>+'Cash-Flow-2018-Leva'!J45/1000</f>
        <v>246.229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995.793</v>
      </c>
      <c r="P45" s="429">
        <f t="shared" si="4"/>
        <v>3268.3109999999997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30.252</v>
      </c>
      <c r="J46" s="294">
        <f>+'Cash-Flow-2018-Leva'!J46/1000</f>
        <v>174.8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30.252</v>
      </c>
      <c r="P46" s="429">
        <f t="shared" si="4"/>
        <v>174.8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17.367</v>
      </c>
      <c r="G47" s="283">
        <f>+'Cash-Flow-2018-Leva'!G47/1000</f>
        <v>345.656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17.367</v>
      </c>
      <c r="P47" s="401">
        <f t="shared" si="4"/>
        <v>345.656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833.368</v>
      </c>
      <c r="G48" s="251">
        <f>+SUM(G44:G47)</f>
        <v>3369.3849999999998</v>
      </c>
      <c r="H48" s="293"/>
      <c r="I48" s="252">
        <f>+SUM(I44:I47)</f>
        <v>211.547</v>
      </c>
      <c r="J48" s="251">
        <f>+SUM(J44:J47)</f>
        <v>421.029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1044.915</v>
      </c>
      <c r="P48" s="380">
        <f>+SUM(P44:P47)</f>
        <v>3790.4139999999998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6677.223</v>
      </c>
      <c r="G50" s="273">
        <f>+G25+G30+G37+G42+G48</f>
        <v>38308.99900000001</v>
      </c>
      <c r="H50" s="293"/>
      <c r="I50" s="274">
        <f>+I25+I30+I37+I42+I48</f>
        <v>211.456</v>
      </c>
      <c r="J50" s="273">
        <f>+J25+J30+J37+J42+J48</f>
        <v>420.918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6888.678999999999</v>
      </c>
      <c r="P50" s="397">
        <f>+P25+P30+P37+P42+P48</f>
        <v>38729.917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18357.312</v>
      </c>
      <c r="G53" s="244">
        <f>+'Cash-Flow-2018-Leva'!G53/1000</f>
        <v>131151.643</v>
      </c>
      <c r="H53" s="293"/>
      <c r="I53" s="254">
        <f>+'Cash-Flow-2018-Leva'!I53/1000</f>
        <v>59.741</v>
      </c>
      <c r="J53" s="244">
        <f>+'Cash-Flow-2018-Leva'!J53/1000</f>
        <v>2584.98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18417.053000000004</v>
      </c>
      <c r="P53" s="376">
        <f t="shared" si="5"/>
        <v>133736.62300000002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232.603</v>
      </c>
      <c r="G54" s="283">
        <f>+'Cash-Flow-2018-Leva'!G54/1000</f>
        <v>1470.209</v>
      </c>
      <c r="H54" s="293"/>
      <c r="I54" s="284">
        <f>+'Cash-Flow-2018-Leva'!I54/1000</f>
        <v>0.114</v>
      </c>
      <c r="J54" s="283">
        <f>+'Cash-Flow-2018-Leva'!J54/1000</f>
        <v>0.318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232.717</v>
      </c>
      <c r="P54" s="401">
        <f t="shared" si="5"/>
        <v>1470.527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205.491</v>
      </c>
      <c r="G55" s="283">
        <f>+'Cash-Flow-2018-Leva'!G55/1000</f>
        <v>810.187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205.491</v>
      </c>
      <c r="P55" s="401">
        <f t="shared" si="5"/>
        <v>810.187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27078.055</v>
      </c>
      <c r="G56" s="283">
        <f>+'Cash-Flow-2018-Leva'!G56/1000</f>
        <v>172740.778</v>
      </c>
      <c r="H56" s="293"/>
      <c r="I56" s="284">
        <f>+'Cash-Flow-2018-Leva'!I56/1000</f>
        <v>21.028</v>
      </c>
      <c r="J56" s="283">
        <f>+'Cash-Flow-2018-Leva'!J56/1000</f>
        <v>635.846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27099.083</v>
      </c>
      <c r="P56" s="401">
        <f t="shared" si="5"/>
        <v>173376.62399999998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5458.176</v>
      </c>
      <c r="G57" s="283">
        <f>+'Cash-Flow-2018-Leva'!G57/1000</f>
        <v>33803.767</v>
      </c>
      <c r="H57" s="293"/>
      <c r="I57" s="284">
        <f>+'Cash-Flow-2018-Leva'!I57/1000</f>
        <v>1.963</v>
      </c>
      <c r="J57" s="283">
        <f>+'Cash-Flow-2018-Leva'!J57/1000</f>
        <v>52.551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5460.139</v>
      </c>
      <c r="P57" s="401">
        <f t="shared" si="5"/>
        <v>33856.318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51331.637</v>
      </c>
      <c r="G58" s="277">
        <f>+SUM(G53:G57)</f>
        <v>339976.58400000003</v>
      </c>
      <c r="H58" s="293"/>
      <c r="I58" s="278">
        <f>+SUM(I53:I57)</f>
        <v>82.84599999999999</v>
      </c>
      <c r="J58" s="277">
        <f>+SUM(J53:J57)</f>
        <v>3273.695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51414.48300000001</v>
      </c>
      <c r="P58" s="399">
        <f>+SUM(P53:P57)</f>
        <v>343250.279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4.238</v>
      </c>
      <c r="G61" s="283">
        <f>+'Cash-Flow-2018-Leva'!G61/1000</f>
        <v>914.401</v>
      </c>
      <c r="H61" s="293"/>
      <c r="I61" s="284">
        <f>+'Cash-Flow-2018-Leva'!I61/1000</f>
        <v>0</v>
      </c>
      <c r="J61" s="283">
        <f>+'Cash-Flow-2018-Leva'!J61/1000</f>
        <v>6498.745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4.238</v>
      </c>
      <c r="P61" s="401">
        <f t="shared" si="6"/>
        <v>7413.146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</v>
      </c>
      <c r="G62" s="283">
        <f>+'Cash-Flow-2018-Leva'!G62/1000</f>
        <v>287.102</v>
      </c>
      <c r="H62" s="293"/>
      <c r="I62" s="284">
        <f>+'Cash-Flow-2018-Leva'!I62/1000</f>
        <v>0</v>
      </c>
      <c r="J62" s="283">
        <f>+'Cash-Flow-2018-Leva'!J62/1000</f>
        <v>72.336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</v>
      </c>
      <c r="P62" s="401">
        <f t="shared" si="6"/>
        <v>359.438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4.238</v>
      </c>
      <c r="G65" s="277">
        <f>+SUM(G60:G63)</f>
        <v>1201.503</v>
      </c>
      <c r="H65" s="293"/>
      <c r="I65" s="278">
        <f>+SUM(I60:I63)</f>
        <v>0</v>
      </c>
      <c r="J65" s="277">
        <f>+SUM(J60:J63)</f>
        <v>6571.081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4.238</v>
      </c>
      <c r="P65" s="399">
        <f>+SUM(P60:P63)</f>
        <v>7772.584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62.911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62.911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62.911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62.911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1602.365</v>
      </c>
      <c r="G71" s="244">
        <f>+'Cash-Flow-2018-Leva'!G71/1000</f>
        <v>23324.279</v>
      </c>
      <c r="H71" s="293"/>
      <c r="I71" s="254">
        <f>+'Cash-Flow-2018-Leva'!I71/1000</f>
        <v>0</v>
      </c>
      <c r="J71" s="244">
        <f>+'Cash-Flow-2018-Leva'!J71/1000</f>
        <v>344.689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1602.365</v>
      </c>
      <c r="P71" s="376">
        <f>+G71+J71+M71</f>
        <v>23668.967999999997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1602.365</v>
      </c>
      <c r="G73" s="277">
        <f>+SUM(G71:G72)</f>
        <v>23324.279</v>
      </c>
      <c r="H73" s="293"/>
      <c r="I73" s="278">
        <f>+SUM(I71:I72)</f>
        <v>0</v>
      </c>
      <c r="J73" s="277">
        <f>+SUM(J71:J72)</f>
        <v>344.689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1602.365</v>
      </c>
      <c r="P73" s="399">
        <f>+SUM(P71:P72)</f>
        <v>23668.967999999997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4973.065</v>
      </c>
      <c r="G75" s="244">
        <f>+'Cash-Flow-2018-Leva'!G75/1000</f>
        <v>101270.914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4973.065</v>
      </c>
      <c r="P75" s="376">
        <f>+G75+J75+M75</f>
        <v>101270.914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-31.076</v>
      </c>
      <c r="G76" s="283">
        <f>+'Cash-Flow-2018-Leva'!G76/1000</f>
        <v>11610.329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-31.076</v>
      </c>
      <c r="P76" s="401">
        <f>+G76+J76+M76</f>
        <v>11610.329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4941.989</v>
      </c>
      <c r="G77" s="277">
        <f>+SUM(G75:G76)</f>
        <v>112881.243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4941.989</v>
      </c>
      <c r="P77" s="399">
        <f>+SUM(P75:P76)</f>
        <v>112881.243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57880.229</v>
      </c>
      <c r="G79" s="288">
        <f>+G58+G65+G69+G73+G77</f>
        <v>477446.5200000001</v>
      </c>
      <c r="H79" s="293"/>
      <c r="I79" s="285">
        <f>+I58+I65+I69+I73+I77</f>
        <v>82.84599999999999</v>
      </c>
      <c r="J79" s="288">
        <f>+J58+J65+J69+J73+J77</f>
        <v>10189.465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57963.075000000004</v>
      </c>
      <c r="P79" s="409">
        <f>+P58+P65+P69+P73+P77</f>
        <v>487635.985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51929.513</v>
      </c>
      <c r="G81" s="271">
        <f>+'Cash-Flow-2018-Leva'!G81/1000</f>
        <v>449303.85</v>
      </c>
      <c r="H81" s="293"/>
      <c r="I81" s="272">
        <f>+'Cash-Flow-2018-Leva'!I81/1000</f>
        <v>222.702</v>
      </c>
      <c r="J81" s="271">
        <f>+'Cash-Flow-2018-Leva'!J81/1000</f>
        <v>9384.366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52152.215</v>
      </c>
      <c r="P81" s="395">
        <f>+G81+J81+M81</f>
        <v>458688.21599999996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51929.513</v>
      </c>
      <c r="G83" s="286">
        <f>+G81+G82</f>
        <v>449303.85</v>
      </c>
      <c r="H83" s="293"/>
      <c r="I83" s="287">
        <f>+I81+I82</f>
        <v>222.702</v>
      </c>
      <c r="J83" s="286">
        <f>+J81+J82</f>
        <v>9384.366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52152.215</v>
      </c>
      <c r="P83" s="404">
        <f>+P81+P82</f>
        <v>458688.21599999996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726.5069999999978</v>
      </c>
      <c r="G85" s="307">
        <f>+G50-G79+G83</f>
        <v>10166.32899999991</v>
      </c>
      <c r="H85" s="293"/>
      <c r="I85" s="308">
        <f>+I50-I79+I83</f>
        <v>351.312</v>
      </c>
      <c r="J85" s="307">
        <f>+J50-J79+J83</f>
        <v>-384.1810000000005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1077.8189999999886</v>
      </c>
      <c r="P85" s="406">
        <f>+P50-P79+P83</f>
        <v>9782.147999999986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-726.5070000000001</v>
      </c>
      <c r="G86" s="309">
        <f>+G103+G122+G129-G134</f>
        <v>-10166.329</v>
      </c>
      <c r="H86" s="293"/>
      <c r="I86" s="310">
        <f>+I103+I122+I129-I134</f>
        <v>-351.312</v>
      </c>
      <c r="J86" s="309">
        <f>+J103+J122+J129-J134</f>
        <v>384.181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-1077.8189999999993</v>
      </c>
      <c r="P86" s="408">
        <f>+P103+P122+P129-P134</f>
        <v>-9782.148000000003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129.63</v>
      </c>
      <c r="G94" s="283">
        <f>+'Cash-Flow-2018-Leva'!G94/1000</f>
        <v>777.778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129.63</v>
      </c>
      <c r="P94" s="401">
        <f t="shared" si="7"/>
        <v>777.778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129.63</v>
      </c>
      <c r="G97" s="251">
        <f>+SUM(G93:G96)</f>
        <v>777.778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129.63</v>
      </c>
      <c r="P97" s="380">
        <f>+SUM(P93:P96)</f>
        <v>777.778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37.081</v>
      </c>
      <c r="G100" s="283">
        <f>+'Cash-Flow-2018-Leva'!G100/1000</f>
        <v>-34.753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37.081</v>
      </c>
      <c r="P100" s="401">
        <f>+G100+J100+M100</f>
        <v>-34.753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37.081</v>
      </c>
      <c r="G101" s="251">
        <f>+SUM(G99:G100)</f>
        <v>-34.753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37.081</v>
      </c>
      <c r="P101" s="380">
        <f>+SUM(P99:P100)</f>
        <v>-34.753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166.711</v>
      </c>
      <c r="G103" s="273">
        <f>+G91+G97+G101</f>
        <v>743.025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166.711</v>
      </c>
      <c r="P103" s="397">
        <f>+P91+P97+P101</f>
        <v>743.025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-10782.957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-10782.957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-10782.957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-10782.957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-6.941</v>
      </c>
      <c r="G118" s="244">
        <f>+'Cash-Flow-2018-Leva'!G118/1000</f>
        <v>-36.601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-716.309</v>
      </c>
      <c r="M118" s="244">
        <f>+'Cash-Flow-2018-Leva'!M118/1000</f>
        <v>781.519</v>
      </c>
      <c r="N118" s="483"/>
      <c r="O118" s="383">
        <f>+F118+I118+L118</f>
        <v>-723.25</v>
      </c>
      <c r="P118" s="376">
        <f>+G118+J118+M118</f>
        <v>744.918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0.195</v>
      </c>
      <c r="G119" s="283">
        <f>+'Cash-Flow-2018-Leva'!G119/1000</f>
        <v>5.096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0.195</v>
      </c>
      <c r="P119" s="401">
        <f>+G119+J119+M119</f>
        <v>5.096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-6.7459999999999996</v>
      </c>
      <c r="G120" s="277">
        <f>+SUM(G118:G119)</f>
        <v>-31.505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-716.309</v>
      </c>
      <c r="M120" s="277">
        <f>+SUM(M118:M119)</f>
        <v>781.519</v>
      </c>
      <c r="N120" s="483"/>
      <c r="O120" s="398">
        <f>+SUM(O118:O119)</f>
        <v>-723.055</v>
      </c>
      <c r="P120" s="399">
        <f>+SUM(P118:P119)</f>
        <v>750.014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-6.7459999999999996</v>
      </c>
      <c r="G122" s="288">
        <f>+G108+G112+G116+G120</f>
        <v>-10814.462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-716.309</v>
      </c>
      <c r="M122" s="288">
        <f>+M108+M112+M116+M120</f>
        <v>781.519</v>
      </c>
      <c r="N122" s="483"/>
      <c r="O122" s="402">
        <f>+O108+O112+O116+O120</f>
        <v>-723.055</v>
      </c>
      <c r="P122" s="409">
        <f>+P108+P112+P116+P120</f>
        <v>-10032.943000000001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257.572</v>
      </c>
      <c r="G125" s="283">
        <f>+'Cash-Flow-2018-Leva'!G125/1000</f>
        <v>-362.092</v>
      </c>
      <c r="H125" s="293"/>
      <c r="I125" s="284">
        <f>+'Cash-Flow-2018-Leva'!I125/1000</f>
        <v>-348.93</v>
      </c>
      <c r="J125" s="283">
        <f>+'Cash-Flow-2018-Leva'!J125/1000</f>
        <v>355.019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-91.358</v>
      </c>
      <c r="P125" s="401">
        <f t="shared" si="8"/>
        <v>-7.072999999999979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-383.484</v>
      </c>
      <c r="G126" s="283">
        <f>+'Cash-Flow-2018-Leva'!G126/1000</f>
        <v>-52.423</v>
      </c>
      <c r="H126" s="293"/>
      <c r="I126" s="284">
        <f>+'Cash-Flow-2018-Leva'!I126/1000</f>
        <v>0.096</v>
      </c>
      <c r="J126" s="283">
        <f>+'Cash-Flow-2018-Leva'!J126/1000</f>
        <v>52.423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-383.388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-125.91199999999998</v>
      </c>
      <c r="G129" s="286">
        <f>+SUM(G124,G125,G126,G128)</f>
        <v>-414.515</v>
      </c>
      <c r="H129" s="293"/>
      <c r="I129" s="287">
        <f>+SUM(I124,I125,I126,I128)</f>
        <v>-348.834</v>
      </c>
      <c r="J129" s="286">
        <f>+SUM(J124,J125,J126,J128)</f>
        <v>407.442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-474.746</v>
      </c>
      <c r="P129" s="404">
        <f>+SUM(P124,P125,P126,P128)</f>
        <v>-7.072999999999979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2861.044</v>
      </c>
      <c r="G131" s="271">
        <f>+'Cash-Flow-2018-Leva'!G131/1000</f>
        <v>3214.939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2364.139</v>
      </c>
      <c r="M131" s="271">
        <f>+'Cash-Flow-2018-Leva'!M131/1000</f>
        <v>1582.619</v>
      </c>
      <c r="N131" s="483"/>
      <c r="O131" s="382">
        <f aca="true" t="shared" si="9" ref="O131:P133">+F131+I131+L131</f>
        <v>5225.183</v>
      </c>
      <c r="P131" s="395">
        <f t="shared" si="9"/>
        <v>4797.558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-4.312</v>
      </c>
      <c r="G132" s="283">
        <f>+'Cash-Flow-2018-Leva'!G132/1000</f>
        <v>-34.273</v>
      </c>
      <c r="H132" s="293"/>
      <c r="I132" s="284">
        <f>+'Cash-Flow-2018-Leva'!I132/1000</f>
        <v>-2.478</v>
      </c>
      <c r="J132" s="283">
        <f>+'Cash-Flow-2018-Leva'!J132/1000</f>
        <v>-23.261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-6.790000000000001</v>
      </c>
      <c r="P132" s="401">
        <f t="shared" si="9"/>
        <v>-57.534000000000006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3617.292</v>
      </c>
      <c r="G133" s="283">
        <f>+'Cash-Flow-2018-Leva'!G133/1000</f>
        <v>2861.043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1647.83</v>
      </c>
      <c r="M133" s="283">
        <f>+'Cash-Flow-2018-Leva'!M133/1000</f>
        <v>2364.138</v>
      </c>
      <c r="N133" s="483"/>
      <c r="O133" s="378">
        <f t="shared" si="9"/>
        <v>5265.121999999999</v>
      </c>
      <c r="P133" s="401">
        <f t="shared" si="9"/>
        <v>5225.1810000000005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760.5600000000001</v>
      </c>
      <c r="G134" s="291">
        <f>+G133-G131-G132</f>
        <v>-319.6229999999997</v>
      </c>
      <c r="H134" s="293"/>
      <c r="I134" s="292">
        <f>+I133-I131-I132</f>
        <v>2.478</v>
      </c>
      <c r="J134" s="291">
        <f>+J133-J131-J132</f>
        <v>23.261</v>
      </c>
      <c r="K134" s="293"/>
      <c r="L134" s="292">
        <f>+L133-L131-L132</f>
        <v>-716.3090000000002</v>
      </c>
      <c r="M134" s="291">
        <f>+M133-M131-M132</f>
        <v>781.519</v>
      </c>
      <c r="N134" s="483"/>
      <c r="O134" s="411">
        <f>+O133-O131-O132</f>
        <v>46.728999999999395</v>
      </c>
      <c r="P134" s="412">
        <f>+P133-P131-P132</f>
        <v>485.1570000000005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0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2018-01-03T17:05:49Z</cp:lastPrinted>
  <dcterms:created xsi:type="dcterms:W3CDTF">2015-12-01T07:17:04Z</dcterms:created>
  <dcterms:modified xsi:type="dcterms:W3CDTF">2018-04-12T07:44:44Z</dcterms:modified>
  <cp:category/>
  <cp:version/>
  <cp:contentType/>
  <cp:contentStatus/>
</cp:coreProperties>
</file>