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<sst xmlns="http://schemas.openxmlformats.org/spreadsheetml/2006/main" count="519" uniqueCount="350">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</sst>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1" applyFont="1" applyFill="1" applyAlignment="1" applyProtection="1">
      <alignment horizontal="right"/>
      <protection/>
    </xf>
    <xf numFmtId="0" fontId="150" fillId="32" borderId="0" xfId="61" applyFont="1" applyFill="1" applyBorder="1" applyAlignment="1" applyProtection="1">
      <alignment horizontal="center"/>
      <protection/>
    </xf>
    <xf numFmtId="166" fontId="151" fillId="32" borderId="0" xfId="63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1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6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153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27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7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0" fillId="32" borderId="24" xfId="57" applyNumberFormat="1" applyFont="1" applyFill="1" applyBorder="1" applyAlignment="1">
      <alignment horizontal="center"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1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1" fontId="9" fillId="32" borderId="20" xfId="57" applyNumberFormat="1" applyFont="1" applyFill="1" applyBorder="1" applyAlignment="1">
      <alignment horizontal="left"/>
      <protection/>
    </xf>
    <xf numFmtId="171" fontId="9" fillId="32" borderId="24" xfId="57" applyNumberFormat="1" applyFont="1" applyFill="1" applyBorder="1" applyAlignment="1">
      <alignment horizontal="left"/>
      <protection/>
    </xf>
    <xf numFmtId="169" fontId="29" fillId="32" borderId="0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9" fontId="29" fillId="32" borderId="22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8" fontId="29" fillId="32" borderId="22" xfId="57" applyNumberFormat="1" applyFont="1" applyFill="1" applyBorder="1" applyAlignment="1">
      <alignment horizontal="left"/>
      <protection/>
    </xf>
    <xf numFmtId="173" fontId="154" fillId="39" borderId="25" xfId="0" applyNumberFormat="1" applyFont="1" applyFill="1" applyBorder="1" applyAlignment="1" applyProtection="1" quotePrefix="1">
      <alignment horizontal="center"/>
      <protection/>
    </xf>
    <xf numFmtId="172" fontId="155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1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151" fillId="40" borderId="30" xfId="57" applyFont="1" applyFill="1" applyBorder="1">
      <alignment/>
      <protection/>
    </xf>
    <xf numFmtId="0" fontId="151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8" fillId="41" borderId="25" xfId="0" applyNumberFormat="1" applyFont="1" applyFill="1" applyBorder="1" applyAlignment="1" applyProtection="1" quotePrefix="1">
      <alignment horizontal="center"/>
      <protection/>
    </xf>
    <xf numFmtId="172" fontId="159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9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2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0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1" fillId="33" borderId="0" xfId="63" applyNumberFormat="1" applyFont="1" applyFill="1" applyBorder="1" applyAlignment="1" applyProtection="1">
      <alignment/>
      <protection/>
    </xf>
    <xf numFmtId="38" fontId="21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1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1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1" fillId="45" borderId="47" xfId="63" applyNumberFormat="1" applyFont="1" applyFill="1" applyBorder="1" applyAlignment="1" applyProtection="1">
      <alignment/>
      <protection/>
    </xf>
    <xf numFmtId="38" fontId="21" fillId="45" borderId="48" xfId="63" applyNumberFormat="1" applyFont="1" applyFill="1" applyBorder="1" applyAlignment="1" applyProtection="1">
      <alignment/>
      <protection/>
    </xf>
    <xf numFmtId="38" fontId="21" fillId="45" borderId="49" xfId="63" applyNumberFormat="1" applyFont="1" applyFill="1" applyBorder="1" applyAlignment="1" applyProtection="1">
      <alignment/>
      <protection/>
    </xf>
    <xf numFmtId="38" fontId="21" fillId="46" borderId="47" xfId="63" applyNumberFormat="1" applyFont="1" applyFill="1" applyBorder="1" applyAlignment="1" applyProtection="1">
      <alignment/>
      <protection/>
    </xf>
    <xf numFmtId="38" fontId="21" fillId="46" borderId="48" xfId="63" applyNumberFormat="1" applyFont="1" applyFill="1" applyBorder="1" applyAlignment="1" applyProtection="1">
      <alignment/>
      <protection/>
    </xf>
    <xf numFmtId="38" fontId="21" fillId="46" borderId="49" xfId="63" applyNumberFormat="1" applyFont="1" applyFill="1" applyBorder="1" applyAlignment="1" applyProtection="1">
      <alignment/>
      <protection/>
    </xf>
    <xf numFmtId="38" fontId="21" fillId="33" borderId="50" xfId="63" applyNumberFormat="1" applyFont="1" applyFill="1" applyBorder="1" applyAlignment="1" applyProtection="1">
      <alignment/>
      <protection/>
    </xf>
    <xf numFmtId="38" fontId="21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9" fillId="44" borderId="58" xfId="63" applyNumberFormat="1" applyFont="1" applyFill="1" applyBorder="1" applyAlignment="1" applyProtection="1">
      <alignment/>
      <protection/>
    </xf>
    <xf numFmtId="38" fontId="29" fillId="44" borderId="59" xfId="63" applyNumberFormat="1" applyFont="1" applyFill="1" applyBorder="1" applyAlignment="1" applyProtection="1">
      <alignment/>
      <protection/>
    </xf>
    <xf numFmtId="38" fontId="29" fillId="44" borderId="52" xfId="63" applyNumberFormat="1" applyFont="1" applyFill="1" applyBorder="1" applyAlignment="1" applyProtection="1">
      <alignment/>
      <protection/>
    </xf>
    <xf numFmtId="38" fontId="29" fillId="44" borderId="53" xfId="63" applyNumberFormat="1" applyFont="1" applyFill="1" applyBorder="1" applyAlignment="1" applyProtection="1">
      <alignment/>
      <protection/>
    </xf>
    <xf numFmtId="38" fontId="29" fillId="44" borderId="54" xfId="63" applyNumberFormat="1" applyFont="1" applyFill="1" applyBorder="1" applyAlignment="1" applyProtection="1">
      <alignment/>
      <protection/>
    </xf>
    <xf numFmtId="38" fontId="29" fillId="44" borderId="55" xfId="63" applyNumberFormat="1" applyFont="1" applyFill="1" applyBorder="1" applyAlignment="1" applyProtection="1">
      <alignment/>
      <protection/>
    </xf>
    <xf numFmtId="38" fontId="21" fillId="33" borderId="60" xfId="63" applyNumberFormat="1" applyFont="1" applyFill="1" applyBorder="1" applyAlignment="1" applyProtection="1">
      <alignment/>
      <protection/>
    </xf>
    <xf numFmtId="38" fontId="21" fillId="33" borderId="20" xfId="63" applyNumberFormat="1" applyFont="1" applyFill="1" applyBorder="1" applyAlignment="1" applyProtection="1">
      <alignment/>
      <protection/>
    </xf>
    <xf numFmtId="38" fontId="21" fillId="33" borderId="57" xfId="63" applyNumberFormat="1" applyFont="1" applyFill="1" applyBorder="1" applyAlignment="1" applyProtection="1">
      <alignment/>
      <protection/>
    </xf>
    <xf numFmtId="38" fontId="29" fillId="44" borderId="48" xfId="63" applyNumberFormat="1" applyFont="1" applyFill="1" applyBorder="1" applyAlignment="1" applyProtection="1">
      <alignment/>
      <protection/>
    </xf>
    <xf numFmtId="38" fontId="29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1" fillId="33" borderId="32" xfId="0" applyNumberFormat="1" applyFont="1" applyFill="1" applyBorder="1" applyAlignment="1" applyProtection="1">
      <alignment horizontal="center"/>
      <protection locked="0"/>
    </xf>
    <xf numFmtId="175" fontId="161" fillId="33" borderId="50" xfId="0" applyNumberFormat="1" applyFont="1" applyFill="1" applyBorder="1" applyAlignment="1" applyProtection="1">
      <alignment horizontal="center"/>
      <protection/>
    </xf>
    <xf numFmtId="0" fontId="152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1" fillId="33" borderId="67" xfId="63" applyNumberFormat="1" applyFont="1" applyFill="1" applyBorder="1" applyAlignment="1" applyProtection="1">
      <alignment/>
      <protection/>
    </xf>
    <xf numFmtId="38" fontId="21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1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9" fillId="44" borderId="56" xfId="63" applyNumberFormat="1" applyFont="1" applyFill="1" applyBorder="1" applyAlignment="1" applyProtection="1">
      <alignment/>
      <protection/>
    </xf>
    <xf numFmtId="38" fontId="29" fillId="44" borderId="64" xfId="63" applyNumberFormat="1" applyFont="1" applyFill="1" applyBorder="1" applyAlignment="1" applyProtection="1">
      <alignment/>
      <protection/>
    </xf>
    <xf numFmtId="38" fontId="29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9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2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1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1" fillId="44" borderId="60" xfId="63" applyNumberFormat="1" applyFont="1" applyFill="1" applyBorder="1" applyAlignment="1" applyProtection="1">
      <alignment horizontal="center"/>
      <protection/>
    </xf>
    <xf numFmtId="38" fontId="21" fillId="44" borderId="20" xfId="63" applyNumberFormat="1" applyFont="1" applyFill="1" applyBorder="1" applyAlignment="1" applyProtection="1">
      <alignment horizontal="center"/>
      <protection/>
    </xf>
    <xf numFmtId="38" fontId="21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9" fillId="44" borderId="47" xfId="63" applyNumberFormat="1" applyFont="1" applyFill="1" applyBorder="1" applyAlignment="1" applyProtection="1">
      <alignment horizontal="center"/>
      <protection/>
    </xf>
    <xf numFmtId="38" fontId="29" fillId="44" borderId="48" xfId="63" applyNumberFormat="1" applyFont="1" applyFill="1" applyBorder="1" applyAlignment="1" applyProtection="1">
      <alignment horizontal="center"/>
      <protection/>
    </xf>
    <xf numFmtId="38" fontId="29" fillId="44" borderId="49" xfId="63" applyNumberFormat="1" applyFont="1" applyFill="1" applyBorder="1" applyAlignment="1" applyProtection="1">
      <alignment horizontal="center"/>
      <protection/>
    </xf>
    <xf numFmtId="38" fontId="21" fillId="33" borderId="60" xfId="63" applyNumberFormat="1" applyFont="1" applyFill="1" applyBorder="1" applyAlignment="1" applyProtection="1">
      <alignment horizontal="center"/>
      <protection/>
    </xf>
    <xf numFmtId="38" fontId="21" fillId="33" borderId="20" xfId="63" applyNumberFormat="1" applyFont="1" applyFill="1" applyBorder="1" applyAlignment="1" applyProtection="1">
      <alignment horizontal="center"/>
      <protection/>
    </xf>
    <xf numFmtId="38" fontId="21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1" fillId="33" borderId="67" xfId="63" applyNumberFormat="1" applyFont="1" applyFill="1" applyBorder="1" applyAlignment="1" applyProtection="1">
      <alignment horizontal="left"/>
      <protection/>
    </xf>
    <xf numFmtId="38" fontId="21" fillId="33" borderId="50" xfId="63" applyNumberFormat="1" applyFont="1" applyFill="1" applyBorder="1" applyAlignment="1" applyProtection="1">
      <alignment horizontal="left"/>
      <protection/>
    </xf>
    <xf numFmtId="38" fontId="21" fillId="33" borderId="51" xfId="63" applyNumberFormat="1" applyFont="1" applyFill="1" applyBorder="1" applyAlignment="1" applyProtection="1">
      <alignment horizontal="left"/>
      <protection/>
    </xf>
    <xf numFmtId="38" fontId="21" fillId="33" borderId="66" xfId="63" applyNumberFormat="1" applyFont="1" applyFill="1" applyBorder="1" applyAlignment="1" applyProtection="1">
      <alignment horizontal="left"/>
      <protection/>
    </xf>
    <xf numFmtId="38" fontId="21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4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3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5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7" fillId="39" borderId="25" xfId="0" applyNumberFormat="1" applyFont="1" applyFill="1" applyBorder="1" applyAlignment="1" applyProtection="1" quotePrefix="1">
      <alignment horizontal="center"/>
      <protection/>
    </xf>
    <xf numFmtId="183" fontId="164" fillId="42" borderId="25" xfId="0" applyNumberFormat="1" applyFont="1" applyFill="1" applyBorder="1" applyAlignment="1" applyProtection="1" quotePrefix="1">
      <alignment horizontal="center"/>
      <protection/>
    </xf>
    <xf numFmtId="183" fontId="165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1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166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8" fillId="49" borderId="0" xfId="60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1" fillId="45" borderId="0" xfId="63" applyNumberFormat="1" applyFont="1" applyFill="1" applyBorder="1" applyAlignment="1" applyProtection="1">
      <alignment/>
      <protection/>
    </xf>
    <xf numFmtId="0" fontId="169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9" fillId="35" borderId="0" xfId="62" applyFont="1" applyFill="1" applyBorder="1" applyAlignment="1" applyProtection="1">
      <alignment/>
      <protection/>
    </xf>
    <xf numFmtId="0" fontId="168" fillId="33" borderId="0" xfId="60" applyFont="1" applyFill="1" applyBorder="1" applyAlignment="1" applyProtection="1">
      <alignment horizontal="center"/>
      <protection/>
    </xf>
    <xf numFmtId="164" fontId="65" fillId="50" borderId="32" xfId="62" applyNumberFormat="1" applyFont="1" applyFill="1" applyBorder="1" applyAlignment="1" applyProtection="1">
      <alignment horizontal="center" vertical="center"/>
      <protection locked="0"/>
    </xf>
    <xf numFmtId="166" fontId="149" fillId="32" borderId="0" xfId="63" applyNumberFormat="1" applyFont="1" applyFill="1" applyAlignment="1" applyProtection="1">
      <alignment/>
      <protection/>
    </xf>
    <xf numFmtId="0" fontId="152" fillId="35" borderId="0" xfId="62" applyFont="1" applyFill="1" applyBorder="1" applyProtection="1">
      <alignment/>
      <protection/>
    </xf>
    <xf numFmtId="0" fontId="170" fillId="35" borderId="0" xfId="62" applyFont="1" applyFill="1" applyBorder="1" applyProtection="1">
      <alignment/>
      <protection/>
    </xf>
    <xf numFmtId="0" fontId="170" fillId="35" borderId="0" xfId="62" applyFont="1" applyFill="1" applyProtection="1">
      <alignment/>
      <protection/>
    </xf>
    <xf numFmtId="172" fontId="158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9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9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1" fillId="33" borderId="50" xfId="0" applyFont="1" applyFill="1" applyBorder="1" applyAlignment="1" applyProtection="1">
      <alignment horizontal="center"/>
      <protection/>
    </xf>
    <xf numFmtId="0" fontId="172" fillId="32" borderId="50" xfId="0" applyFont="1" applyFill="1" applyBorder="1" applyAlignment="1" applyProtection="1">
      <alignment horizontal="center"/>
      <protection locked="0"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3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5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171" fontId="175" fillId="33" borderId="0" xfId="57" applyNumberFormat="1" applyFont="1" applyFill="1" applyBorder="1" applyAlignment="1">
      <alignment/>
      <protection/>
    </xf>
    <xf numFmtId="171" fontId="176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2" fillId="33" borderId="0" xfId="57" applyNumberFormat="1" applyFont="1" applyFill="1" applyBorder="1" applyAlignment="1">
      <alignment/>
      <protection/>
    </xf>
    <xf numFmtId="171" fontId="70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68" fontId="70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7" fillId="33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7" fillId="32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166" fontId="177" fillId="33" borderId="90" xfId="0" applyNumberFormat="1" applyFont="1" applyFill="1" applyBorder="1" applyAlignment="1" applyProtection="1" quotePrefix="1">
      <alignment/>
      <protection/>
    </xf>
    <xf numFmtId="166" fontId="178" fillId="33" borderId="91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49" fillId="43" borderId="121" xfId="0" applyNumberFormat="1" applyFont="1" applyFill="1" applyBorder="1" applyAlignment="1" applyProtection="1">
      <alignment horizontal="center"/>
      <protection/>
    </xf>
    <xf numFmtId="174" fontId="179" fillId="52" borderId="121" xfId="0" applyNumberFormat="1" applyFont="1" applyFill="1" applyBorder="1" applyAlignment="1" applyProtection="1">
      <alignment horizontal="center"/>
      <protection/>
    </xf>
    <xf numFmtId="174" fontId="180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49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21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74" fontId="166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5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69" fontId="175" fillId="38" borderId="0" xfId="57" applyNumberFormat="1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171" fontId="176" fillId="33" borderId="0" xfId="57" applyNumberFormat="1" applyFont="1" applyFill="1" applyBorder="1" applyAlignment="1">
      <alignment horizontal="center"/>
      <protection/>
    </xf>
    <xf numFmtId="169" fontId="176" fillId="51" borderId="0" xfId="57" applyNumberFormat="1" applyFont="1" applyFill="1" applyBorder="1" applyAlignment="1">
      <alignment horizontal="center"/>
      <protection/>
    </xf>
    <xf numFmtId="169" fontId="175" fillId="33" borderId="0" xfId="57" applyNumberFormat="1" applyFont="1" applyFill="1" applyBorder="1" applyAlignment="1">
      <alignment horizontal="center"/>
      <protection/>
    </xf>
    <xf numFmtId="168" fontId="175" fillId="32" borderId="0" xfId="57" applyNumberFormat="1" applyFont="1" applyFill="1" applyBorder="1" applyAlignment="1">
      <alignment horizontal="center"/>
      <protection/>
    </xf>
    <xf numFmtId="170" fontId="175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5" fillId="38" borderId="0" xfId="57" applyNumberFormat="1" applyFont="1" applyFill="1" applyBorder="1" applyAlignment="1">
      <alignment horizont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 locked="0"/>
    </xf>
    <xf numFmtId="178" fontId="184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21" fillId="46" borderId="47" xfId="63" applyNumberFormat="1" applyFont="1" applyFill="1" applyBorder="1" applyAlignment="1" applyProtection="1">
      <alignment horizontal="center"/>
      <protection/>
    </xf>
    <xf numFmtId="38" fontId="21" fillId="46" borderId="48" xfId="63" applyNumberFormat="1" applyFont="1" applyFill="1" applyBorder="1" applyAlignment="1" applyProtection="1">
      <alignment horizontal="center"/>
      <protection/>
    </xf>
    <xf numFmtId="38" fontId="21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56" fillId="33" borderId="67" xfId="63" applyNumberFormat="1" applyFont="1" applyFill="1" applyBorder="1" applyAlignment="1" applyProtection="1">
      <alignment horizontal="center"/>
      <protection/>
    </xf>
    <xf numFmtId="38" fontId="56" fillId="33" borderId="50" xfId="63" applyNumberFormat="1" applyFont="1" applyFill="1" applyBorder="1" applyAlignment="1" applyProtection="1">
      <alignment horizontal="center"/>
      <protection/>
    </xf>
    <xf numFmtId="38" fontId="56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2" fillId="47" borderId="65" xfId="63" applyNumberFormat="1" applyFont="1" applyFill="1" applyBorder="1" applyAlignment="1" applyProtection="1">
      <alignment horizontal="center"/>
      <protection/>
    </xf>
    <xf numFmtId="38" fontId="162" fillId="47" borderId="54" xfId="63" applyNumberFormat="1" applyFont="1" applyFill="1" applyBorder="1" applyAlignment="1" applyProtection="1">
      <alignment horizontal="center"/>
      <protection/>
    </xf>
    <xf numFmtId="38" fontId="162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29" fillId="44" borderId="56" xfId="63" applyNumberFormat="1" applyFont="1" applyFill="1" applyBorder="1" applyAlignment="1" applyProtection="1">
      <alignment horizontal="center"/>
      <protection/>
    </xf>
    <xf numFmtId="38" fontId="29" fillId="44" borderId="58" xfId="63" applyNumberFormat="1" applyFont="1" applyFill="1" applyBorder="1" applyAlignment="1" applyProtection="1">
      <alignment horizontal="center"/>
      <protection/>
    </xf>
    <xf numFmtId="38" fontId="29" fillId="44" borderId="59" xfId="63" applyNumberFormat="1" applyFont="1" applyFill="1" applyBorder="1" applyAlignment="1" applyProtection="1">
      <alignment horizontal="center"/>
      <protection/>
    </xf>
    <xf numFmtId="38" fontId="29" fillId="44" borderId="64" xfId="63" applyNumberFormat="1" applyFont="1" applyFill="1" applyBorder="1" applyAlignment="1" applyProtection="1">
      <alignment horizontal="center"/>
      <protection/>
    </xf>
    <xf numFmtId="38" fontId="29" fillId="44" borderId="52" xfId="63" applyNumberFormat="1" applyFont="1" applyFill="1" applyBorder="1" applyAlignment="1" applyProtection="1">
      <alignment horizontal="center"/>
      <protection/>
    </xf>
    <xf numFmtId="38" fontId="29" fillId="44" borderId="53" xfId="63" applyNumberFormat="1" applyFont="1" applyFill="1" applyBorder="1" applyAlignment="1" applyProtection="1">
      <alignment horizontal="center"/>
      <protection/>
    </xf>
    <xf numFmtId="38" fontId="29" fillId="44" borderId="65" xfId="63" applyNumberFormat="1" applyFont="1" applyFill="1" applyBorder="1" applyAlignment="1" applyProtection="1">
      <alignment horizontal="center"/>
      <protection/>
    </xf>
    <xf numFmtId="38" fontId="29" fillId="44" borderId="54" xfId="63" applyNumberFormat="1" applyFont="1" applyFill="1" applyBorder="1" applyAlignment="1" applyProtection="1">
      <alignment horizontal="center"/>
      <protection/>
    </xf>
    <xf numFmtId="38" fontId="29" fillId="44" borderId="55" xfId="63" applyNumberFormat="1" applyFont="1" applyFill="1" applyBorder="1" applyAlignment="1" applyProtection="1">
      <alignment horizontal="center"/>
      <protection/>
    </xf>
    <xf numFmtId="0" fontId="185" fillId="32" borderId="0" xfId="59" applyFont="1" applyFill="1" applyBorder="1" applyAlignment="1" applyProtection="1">
      <alignment horizontal="center"/>
      <protection/>
    </xf>
    <xf numFmtId="177" fontId="159" fillId="33" borderId="33" xfId="59" applyNumberFormat="1" applyFont="1" applyFill="1" applyBorder="1" applyAlignment="1" applyProtection="1">
      <alignment horizontal="center"/>
      <protection/>
    </xf>
    <xf numFmtId="177" fontId="159" fillId="33" borderId="48" xfId="59" applyNumberFormat="1" applyFont="1" applyFill="1" applyBorder="1" applyAlignment="1" applyProtection="1">
      <alignment horizontal="center"/>
      <protection/>
    </xf>
    <xf numFmtId="177" fontId="159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77" fontId="186" fillId="32" borderId="0" xfId="59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179" fontId="149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1" fillId="36" borderId="33" xfId="53" applyFill="1" applyBorder="1" applyAlignment="1" applyProtection="1">
      <alignment horizontal="center" vertical="center"/>
      <protection locked="0"/>
    </xf>
    <xf numFmtId="0" fontId="187" fillId="36" borderId="48" xfId="53" applyFont="1" applyFill="1" applyBorder="1" applyAlignment="1" applyProtection="1">
      <alignment horizontal="center" vertical="center"/>
      <protection locked="0"/>
    </xf>
    <xf numFmtId="0" fontId="187" fillId="36" borderId="34" xfId="53" applyFont="1" applyFill="1" applyBorder="1" applyAlignment="1" applyProtection="1">
      <alignment horizontal="center" vertical="center"/>
      <protection locked="0"/>
    </xf>
    <xf numFmtId="38" fontId="141" fillId="33" borderId="33" xfId="53" applyNumberFormat="1" applyFill="1" applyBorder="1" applyAlignment="1" applyProtection="1">
      <alignment horizontal="center" vertical="center"/>
      <protection locked="0"/>
    </xf>
    <xf numFmtId="38" fontId="188" fillId="33" borderId="48" xfId="53" applyNumberFormat="1" applyFont="1" applyFill="1" applyBorder="1" applyAlignment="1" applyProtection="1">
      <alignment horizontal="center" vertical="center"/>
      <protection locked="0"/>
    </xf>
    <xf numFmtId="38" fontId="188" fillId="33" borderId="34" xfId="53" applyNumberFormat="1" applyFont="1" applyFill="1" applyBorder="1" applyAlignment="1" applyProtection="1">
      <alignment horizontal="center" vertical="center"/>
      <protection locked="0"/>
    </xf>
    <xf numFmtId="0" fontId="27" fillId="50" borderId="124" xfId="62" applyFont="1" applyFill="1" applyBorder="1" applyAlignment="1" applyProtection="1" quotePrefix="1">
      <alignment horizontal="center" wrapText="1"/>
      <protection locked="0"/>
    </xf>
    <xf numFmtId="0" fontId="27" fillId="50" borderId="58" xfId="62" applyFont="1" applyFill="1" applyBorder="1" applyAlignment="1" applyProtection="1">
      <alignment horizontal="center" wrapText="1"/>
      <protection locked="0"/>
    </xf>
    <xf numFmtId="0" fontId="27" fillId="50" borderId="125" xfId="62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9" fillId="32" borderId="50" xfId="57" applyFont="1" applyFill="1" applyBorder="1" applyAlignment="1" applyProtection="1" quotePrefix="1">
      <alignment horizontal="center"/>
      <protection/>
    </xf>
    <xf numFmtId="0" fontId="190" fillId="38" borderId="21" xfId="62" applyFont="1" applyFill="1" applyBorder="1" applyAlignment="1" applyProtection="1">
      <alignment horizontal="center" vertical="center" wrapText="1"/>
      <protection locked="0"/>
    </xf>
    <xf numFmtId="0" fontId="190" fillId="38" borderId="22" xfId="62" applyFont="1" applyFill="1" applyBorder="1" applyAlignment="1" applyProtection="1">
      <alignment horizontal="center" vertical="center" wrapText="1"/>
      <protection locked="0"/>
    </xf>
    <xf numFmtId="0" fontId="190" fillId="38" borderId="23" xfId="62" applyFont="1" applyFill="1" applyBorder="1" applyAlignment="1" applyProtection="1">
      <alignment horizontal="center" vertical="center" wrapText="1"/>
      <protection locked="0"/>
    </xf>
    <xf numFmtId="0" fontId="191" fillId="33" borderId="66" xfId="60" applyFont="1" applyFill="1" applyBorder="1" applyAlignment="1" applyProtection="1">
      <alignment horizontal="center"/>
      <protection/>
    </xf>
    <xf numFmtId="0" fontId="191" fillId="33" borderId="0" xfId="60" applyFont="1" applyFill="1" applyBorder="1" applyAlignment="1" applyProtection="1">
      <alignment horizontal="center"/>
      <protection/>
    </xf>
    <xf numFmtId="0" fontId="191" fillId="33" borderId="35" xfId="60" applyFont="1" applyFill="1" applyBorder="1" applyAlignment="1" applyProtection="1">
      <alignment horizontal="center"/>
      <protection/>
    </xf>
    <xf numFmtId="0" fontId="168" fillId="49" borderId="119" xfId="60" applyFont="1" applyFill="1" applyBorder="1" applyAlignment="1" applyProtection="1">
      <alignment horizont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6" fillId="33" borderId="0" xfId="59" applyNumberFormat="1" applyFont="1" applyFill="1" applyBorder="1" applyAlignment="1" applyProtection="1">
      <alignment horizontal="center"/>
      <protection/>
    </xf>
    <xf numFmtId="0" fontId="189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91" fillId="33" borderId="119" xfId="60" applyFont="1" applyFill="1" applyBorder="1" applyAlignment="1" applyProtection="1">
      <alignment horizontal="center"/>
      <protection/>
    </xf>
    <xf numFmtId="0" fontId="191" fillId="33" borderId="126" xfId="60" applyFont="1" applyFill="1" applyBorder="1" applyAlignment="1" applyProtection="1">
      <alignment horizontal="center"/>
      <protection/>
    </xf>
    <xf numFmtId="0" fontId="21" fillId="36" borderId="124" xfId="62" applyFont="1" applyFill="1" applyBorder="1" applyAlignment="1" applyProtection="1" quotePrefix="1">
      <alignment horizontal="center" wrapText="1"/>
      <protection/>
    </xf>
    <xf numFmtId="0" fontId="21" fillId="36" borderId="58" xfId="62" applyFont="1" applyFill="1" applyBorder="1" applyAlignment="1" applyProtection="1">
      <alignment horizontal="center" wrapText="1"/>
      <protection/>
    </xf>
    <xf numFmtId="0" fontId="21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/>
    </xf>
    <xf numFmtId="178" fontId="184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6" fillId="33" borderId="21" xfId="62" applyFont="1" applyFill="1" applyBorder="1" applyAlignment="1" applyProtection="1">
      <alignment horizontal="center" vertical="center" wrapText="1"/>
      <protection/>
    </xf>
    <xf numFmtId="0" fontId="66" fillId="33" borderId="22" xfId="62" applyFont="1" applyFill="1" applyBorder="1" applyAlignment="1" applyProtection="1">
      <alignment horizontal="center" vertical="center" wrapText="1"/>
      <protection/>
    </xf>
    <xf numFmtId="0" fontId="66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192" fillId="36" borderId="48" xfId="53" applyFont="1" applyFill="1" applyBorder="1" applyAlignment="1" applyProtection="1">
      <alignment horizontal="center" vertical="center"/>
      <protection/>
    </xf>
    <xf numFmtId="0" fontId="192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80" zoomScaleNormal="80" zoomScalePageLayoutView="0" workbookViewId="0" topLeftCell="A1">
      <pane xSplit="5" ySplit="12" topLeftCell="F5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2" sqref="F2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/>
      <c r="C1" s="642"/>
      <c r="D1" s="642"/>
      <c r="E1" s="642"/>
      <c r="F1" s="643"/>
      <c r="G1" s="467" t="s">
        <v>274</v>
      </c>
      <c r="H1" s="460"/>
      <c r="I1" s="633"/>
      <c r="J1" s="634"/>
      <c r="K1" s="461"/>
      <c r="L1" s="469" t="s">
        <v>275</v>
      </c>
      <c r="M1" s="465">
        <v>1600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>
        <f>+B1</f>
        <v>0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253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31.03.2017 г.</v>
      </c>
      <c r="G11" s="430">
        <f>+P5-1</f>
        <v>2016</v>
      </c>
      <c r="H11" s="15"/>
      <c r="I11" s="130" t="str">
        <f>+O8</f>
        <v>31.03.2017 г.</v>
      </c>
      <c r="J11" s="431">
        <f>+P5-1</f>
        <v>2016</v>
      </c>
      <c r="K11" s="16"/>
      <c r="L11" s="128" t="str">
        <f>+O8</f>
        <v>31.03.2017 г.</v>
      </c>
      <c r="M11" s="432">
        <f>+P5-1</f>
        <v>2016</v>
      </c>
      <c r="N11" s="16"/>
      <c r="O11" s="386" t="str">
        <f>+O8</f>
        <v>31.03.2017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/>
      <c r="G16" s="260">
        <v>7433756</v>
      </c>
      <c r="H16" s="15"/>
      <c r="I16" s="261"/>
      <c r="J16" s="260"/>
      <c r="K16" s="256"/>
      <c r="L16" s="261"/>
      <c r="M16" s="260"/>
      <c r="N16" s="256"/>
      <c r="O16" s="393">
        <f t="shared" si="0"/>
        <v>0</v>
      </c>
      <c r="P16" s="446">
        <f t="shared" si="0"/>
        <v>7433756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/>
      <c r="G17" s="260">
        <v>348429</v>
      </c>
      <c r="H17" s="15"/>
      <c r="I17" s="261"/>
      <c r="J17" s="260"/>
      <c r="K17" s="256"/>
      <c r="L17" s="261"/>
      <c r="M17" s="260"/>
      <c r="N17" s="256"/>
      <c r="O17" s="393">
        <f t="shared" si="0"/>
        <v>0</v>
      </c>
      <c r="P17" s="446">
        <f t="shared" si="0"/>
        <v>348429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/>
      <c r="G18" s="260">
        <v>1344997</v>
      </c>
      <c r="H18" s="15"/>
      <c r="I18" s="261"/>
      <c r="J18" s="260"/>
      <c r="K18" s="256"/>
      <c r="L18" s="261"/>
      <c r="M18" s="260"/>
      <c r="N18" s="256"/>
      <c r="O18" s="393">
        <f t="shared" si="0"/>
        <v>0</v>
      </c>
      <c r="P18" s="446">
        <f t="shared" si="0"/>
        <v>1344997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/>
      <c r="G19" s="260">
        <v>81797</v>
      </c>
      <c r="H19" s="15"/>
      <c r="I19" s="261"/>
      <c r="J19" s="260"/>
      <c r="K19" s="256"/>
      <c r="L19" s="261"/>
      <c r="M19" s="260"/>
      <c r="N19" s="256"/>
      <c r="O19" s="393">
        <f t="shared" si="0"/>
        <v>0</v>
      </c>
      <c r="P19" s="446">
        <f t="shared" si="0"/>
        <v>81797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/>
      <c r="G20" s="260"/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/>
      <c r="G21" s="260">
        <v>2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0</v>
      </c>
      <c r="P21" s="446">
        <f t="shared" si="0"/>
        <v>2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>
        <v>0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/>
      <c r="G23" s="262">
        <v>8817</v>
      </c>
      <c r="H23" s="15"/>
      <c r="I23" s="263"/>
      <c r="J23" s="262">
        <v>-17</v>
      </c>
      <c r="K23" s="256"/>
      <c r="L23" s="263"/>
      <c r="M23" s="262"/>
      <c r="N23" s="256"/>
      <c r="O23" s="394">
        <f t="shared" si="0"/>
        <v>0</v>
      </c>
      <c r="P23" s="417">
        <f t="shared" si="0"/>
        <v>8800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0</v>
      </c>
      <c r="G24" s="264">
        <f>+ROUND(+SUM(G15:G23),0)</f>
        <v>9217798</v>
      </c>
      <c r="H24" s="15"/>
      <c r="I24" s="265">
        <f>+ROUND(+SUM(I15:I23),0)</f>
        <v>0</v>
      </c>
      <c r="J24" s="264">
        <f>+ROUND(+SUM(J15:J23),0)</f>
        <v>-17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0</v>
      </c>
      <c r="P24" s="396">
        <f>+ROUND(+SUM(P15:P23),0)</f>
        <v>9217781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7158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7158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0</v>
      </c>
      <c r="G29" s="264">
        <f>+ROUND(+SUM(G26:G28),0)</f>
        <v>7158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0</v>
      </c>
      <c r="P29" s="396">
        <f>+ROUND(+SUM(P26:P28),0)</f>
        <v>7158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/>
      <c r="G36" s="276">
        <v>-75270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0</v>
      </c>
      <c r="P36" s="396">
        <f t="shared" si="2"/>
        <v>-75270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/>
      <c r="G37" s="278">
        <v>-974</v>
      </c>
      <c r="H37" s="15"/>
      <c r="I37" s="279"/>
      <c r="J37" s="278"/>
      <c r="K37" s="256"/>
      <c r="L37" s="279"/>
      <c r="M37" s="278"/>
      <c r="N37" s="256"/>
      <c r="O37" s="408">
        <f t="shared" si="2"/>
        <v>0</v>
      </c>
      <c r="P37" s="447">
        <f t="shared" si="2"/>
        <v>-974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/>
      <c r="G38" s="280">
        <v>-14126</v>
      </c>
      <c r="H38" s="15"/>
      <c r="I38" s="281"/>
      <c r="J38" s="280"/>
      <c r="K38" s="256"/>
      <c r="L38" s="281"/>
      <c r="M38" s="280"/>
      <c r="N38" s="256"/>
      <c r="O38" s="409">
        <f t="shared" si="2"/>
        <v>0</v>
      </c>
      <c r="P38" s="448">
        <f t="shared" si="2"/>
        <v>-14126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>
        <v>7528</v>
      </c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7528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>
        <v>29163</v>
      </c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29163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>
        <v>35078</v>
      </c>
      <c r="H44" s="15"/>
      <c r="I44" s="261"/>
      <c r="J44" s="260">
        <v>92990</v>
      </c>
      <c r="K44" s="256"/>
      <c r="L44" s="261"/>
      <c r="M44" s="260"/>
      <c r="N44" s="256"/>
      <c r="O44" s="393">
        <f t="shared" si="3"/>
        <v>0</v>
      </c>
      <c r="P44" s="446">
        <f t="shared" si="3"/>
        <v>128068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>
        <v>0</v>
      </c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/>
      <c r="G46" s="262">
        <v>33752</v>
      </c>
      <c r="H46" s="15"/>
      <c r="I46" s="263"/>
      <c r="J46" s="262"/>
      <c r="K46" s="256"/>
      <c r="L46" s="263"/>
      <c r="M46" s="262"/>
      <c r="N46" s="256"/>
      <c r="O46" s="394">
        <f t="shared" si="3"/>
        <v>0</v>
      </c>
      <c r="P46" s="417">
        <f t="shared" si="3"/>
        <v>33752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0</v>
      </c>
      <c r="G47" s="264">
        <f>+ROUND(+SUM(G43:G46),0)</f>
        <v>68830</v>
      </c>
      <c r="H47" s="15"/>
      <c r="I47" s="265">
        <f>+ROUND(+SUM(I43:I46),0)</f>
        <v>0</v>
      </c>
      <c r="J47" s="264">
        <f>+ROUND(+SUM(J43:J46),0)</f>
        <v>122153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0</v>
      </c>
      <c r="P47" s="396">
        <f>+ROUND(+SUM(P43:P46),0)</f>
        <v>190983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0</v>
      </c>
      <c r="G49" s="286">
        <f>+ROUND(G24+G29+G36+G41+G47,0)</f>
        <v>9226044</v>
      </c>
      <c r="H49" s="15"/>
      <c r="I49" s="287">
        <f>+ROUND(I24+I29+I36+I41+I47,0)</f>
        <v>0</v>
      </c>
      <c r="J49" s="286">
        <f>+ROUND(J24+J29+J36+J41+J47,0)</f>
        <v>122136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0</v>
      </c>
      <c r="P49" s="413">
        <f>+ROUND(P24+P29+P36+P41+P47,0)</f>
        <v>9348180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/>
      <c r="G52" s="288">
        <v>29944707</v>
      </c>
      <c r="H52" s="15"/>
      <c r="I52" s="289"/>
      <c r="J52" s="288">
        <v>349191</v>
      </c>
      <c r="K52" s="256"/>
      <c r="L52" s="289"/>
      <c r="M52" s="288"/>
      <c r="N52" s="256"/>
      <c r="O52" s="399">
        <f aca="true" t="shared" si="4" ref="O52:P56">+ROUND(+F52+I52+L52,0)</f>
        <v>0</v>
      </c>
      <c r="P52" s="392">
        <f t="shared" si="4"/>
        <v>30293898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/>
      <c r="G53" s="262">
        <v>459132</v>
      </c>
      <c r="H53" s="15"/>
      <c r="I53" s="263"/>
      <c r="J53" s="262">
        <v>57</v>
      </c>
      <c r="K53" s="256"/>
      <c r="L53" s="263"/>
      <c r="M53" s="262"/>
      <c r="N53" s="256"/>
      <c r="O53" s="394">
        <f t="shared" si="4"/>
        <v>0</v>
      </c>
      <c r="P53" s="417">
        <f t="shared" si="4"/>
        <v>459189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/>
      <c r="G54" s="262">
        <v>374708</v>
      </c>
      <c r="H54" s="15"/>
      <c r="I54" s="263"/>
      <c r="J54" s="262">
        <v>0</v>
      </c>
      <c r="K54" s="256"/>
      <c r="L54" s="263"/>
      <c r="M54" s="262"/>
      <c r="N54" s="256"/>
      <c r="O54" s="394">
        <f t="shared" si="4"/>
        <v>0</v>
      </c>
      <c r="P54" s="417">
        <f t="shared" si="4"/>
        <v>374708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/>
      <c r="G55" s="262">
        <v>37674889</v>
      </c>
      <c r="H55" s="15"/>
      <c r="I55" s="263"/>
      <c r="J55" s="262">
        <v>72649</v>
      </c>
      <c r="K55" s="256"/>
      <c r="L55" s="263"/>
      <c r="M55" s="262"/>
      <c r="N55" s="256"/>
      <c r="O55" s="394">
        <f t="shared" si="4"/>
        <v>0</v>
      </c>
      <c r="P55" s="417">
        <f t="shared" si="4"/>
        <v>37747538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/>
      <c r="G56" s="262">
        <v>7403486</v>
      </c>
      <c r="H56" s="15"/>
      <c r="I56" s="263"/>
      <c r="J56" s="262">
        <v>5365</v>
      </c>
      <c r="K56" s="256"/>
      <c r="L56" s="263"/>
      <c r="M56" s="262"/>
      <c r="N56" s="256"/>
      <c r="O56" s="394">
        <f t="shared" si="4"/>
        <v>0</v>
      </c>
      <c r="P56" s="417">
        <f t="shared" si="4"/>
        <v>7408851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0</v>
      </c>
      <c r="G57" s="290">
        <f>+ROUND(+SUM(G52:G56),0)</f>
        <v>75856922</v>
      </c>
      <c r="H57" s="15"/>
      <c r="I57" s="291">
        <f>+ROUND(+SUM(I52:I56),0)</f>
        <v>0</v>
      </c>
      <c r="J57" s="290">
        <f>+ROUND(+SUM(J52:J56),0)</f>
        <v>427262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0</v>
      </c>
      <c r="P57" s="415">
        <f>+ROUND(+SUM(P52:P56),0)</f>
        <v>76284184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/>
      <c r="G60" s="262">
        <v>148115</v>
      </c>
      <c r="H60" s="15"/>
      <c r="I60" s="263"/>
      <c r="J60" s="262">
        <v>715998</v>
      </c>
      <c r="K60" s="256"/>
      <c r="L60" s="263"/>
      <c r="M60" s="262"/>
      <c r="N60" s="256"/>
      <c r="O60" s="394">
        <f t="shared" si="5"/>
        <v>0</v>
      </c>
      <c r="P60" s="417">
        <f t="shared" si="5"/>
        <v>864113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/>
      <c r="G61" s="262">
        <v>81552</v>
      </c>
      <c r="H61" s="15"/>
      <c r="I61" s="263"/>
      <c r="J61" s="262"/>
      <c r="K61" s="256"/>
      <c r="L61" s="263"/>
      <c r="M61" s="262"/>
      <c r="N61" s="256"/>
      <c r="O61" s="394">
        <f t="shared" si="5"/>
        <v>0</v>
      </c>
      <c r="P61" s="417">
        <f t="shared" si="5"/>
        <v>81552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0</v>
      </c>
      <c r="G64" s="290">
        <f>+ROUND(+SUM(G59:G62),0)</f>
        <v>229667</v>
      </c>
      <c r="H64" s="15"/>
      <c r="I64" s="291">
        <f>+ROUND(+SUM(I59:I62),0)</f>
        <v>0</v>
      </c>
      <c r="J64" s="290">
        <f>+ROUND(+SUM(J59:J62),0)</f>
        <v>715998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0</v>
      </c>
      <c r="P64" s="415">
        <f>+ROUND(+SUM(P59:P62),0)</f>
        <v>945665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/>
      <c r="G66" s="288">
        <v>2663</v>
      </c>
      <c r="H66" s="15"/>
      <c r="I66" s="289"/>
      <c r="J66" s="288"/>
      <c r="K66" s="256"/>
      <c r="L66" s="289"/>
      <c r="M66" s="288"/>
      <c r="N66" s="256"/>
      <c r="O66" s="399">
        <f>+ROUND(+F66+I66+L66,0)</f>
        <v>0</v>
      </c>
      <c r="P66" s="392">
        <f>+ROUND(+G66+J66+M66,0)</f>
        <v>2663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0</v>
      </c>
      <c r="G68" s="290">
        <f>+ROUND(+SUM(G66:G67),0)</f>
        <v>2663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0</v>
      </c>
      <c r="P68" s="415">
        <f>+ROUND(+SUM(P66:P67),0)</f>
        <v>2663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/>
      <c r="G70" s="288">
        <v>5704112</v>
      </c>
      <c r="H70" s="15"/>
      <c r="I70" s="289"/>
      <c r="J70" s="288">
        <v>42515</v>
      </c>
      <c r="K70" s="256"/>
      <c r="L70" s="289"/>
      <c r="M70" s="288"/>
      <c r="N70" s="256"/>
      <c r="O70" s="399">
        <f>+ROUND(+F70+I70+L70,0)</f>
        <v>0</v>
      </c>
      <c r="P70" s="392">
        <f>+ROUND(+G70+J70+M70,0)</f>
        <v>5746627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0</v>
      </c>
      <c r="G72" s="290">
        <f>+ROUND(+SUM(G70:G71),0)</f>
        <v>5704112</v>
      </c>
      <c r="H72" s="15"/>
      <c r="I72" s="291">
        <f>+ROUND(+SUM(I70:I71),0)</f>
        <v>0</v>
      </c>
      <c r="J72" s="290">
        <f>+ROUND(+SUM(J70:J71),0)</f>
        <v>42515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0</v>
      </c>
      <c r="P72" s="415">
        <f>+ROUND(+SUM(P70:P71),0)</f>
        <v>5746627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/>
      <c r="G74" s="288">
        <v>25934219</v>
      </c>
      <c r="H74" s="15"/>
      <c r="I74" s="289"/>
      <c r="J74" s="288"/>
      <c r="K74" s="256"/>
      <c r="L74" s="289"/>
      <c r="M74" s="288"/>
      <c r="N74" s="256"/>
      <c r="O74" s="399">
        <f>+ROUND(+F74+I74+L74,0)</f>
        <v>0</v>
      </c>
      <c r="P74" s="392">
        <f>+ROUND(+G74+J74+M74,0)</f>
        <v>25934219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>
        <v>8002251</v>
      </c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8002251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0</v>
      </c>
      <c r="G76" s="290">
        <f>+ROUND(+SUM(G74:G75),0)</f>
        <v>33936470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0</v>
      </c>
      <c r="P76" s="415">
        <f>+ROUND(+SUM(P74:P75),0)</f>
        <v>33936470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0</v>
      </c>
      <c r="G78" s="301">
        <f>+ROUND(G57+G64+G68+G72+G76,0)</f>
        <v>115729834</v>
      </c>
      <c r="H78" s="15"/>
      <c r="I78" s="298">
        <f>+ROUND(I57+I64+I68+I72+I76,0)</f>
        <v>0</v>
      </c>
      <c r="J78" s="301">
        <f>+ROUND(J57+J64+J68+J72+J76,0)</f>
        <v>1185775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0</v>
      </c>
      <c r="P78" s="425">
        <f>+ROUND(P57+P64+P68+P72+P76,0)</f>
        <v>116915609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/>
      <c r="G80" s="258">
        <v>106044122</v>
      </c>
      <c r="H80" s="15"/>
      <c r="I80" s="259"/>
      <c r="J80" s="258">
        <v>1342726</v>
      </c>
      <c r="K80" s="256"/>
      <c r="L80" s="259"/>
      <c r="M80" s="258"/>
      <c r="N80" s="256"/>
      <c r="O80" s="398">
        <f>+ROUND(+F80+I80+L80,0)</f>
        <v>0</v>
      </c>
      <c r="P80" s="411">
        <f>+ROUND(+G80+J80+M80,0)</f>
        <v>107386848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/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0</v>
      </c>
      <c r="G82" s="299">
        <f>+ROUND(G80+G81,0)</f>
        <v>106044122</v>
      </c>
      <c r="H82" s="15"/>
      <c r="I82" s="300">
        <f>+ROUND(I80+I81,0)</f>
        <v>0</v>
      </c>
      <c r="J82" s="299">
        <f>+ROUND(J80+J81,0)</f>
        <v>1342726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0</v>
      </c>
      <c r="P82" s="420">
        <f>+ROUND(P80+P81,0)</f>
        <v>107386848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0</v>
      </c>
      <c r="G84" s="320">
        <f>+ROUND(G49,0)-ROUND(G78,0)+ROUND(G82,0)</f>
        <v>-459668</v>
      </c>
      <c r="H84" s="15"/>
      <c r="I84" s="321">
        <f>+ROUND(I49,0)-ROUND(I78,0)+ROUND(I82,0)</f>
        <v>0</v>
      </c>
      <c r="J84" s="320">
        <f>+ROUND(J49,0)-ROUND(J78,0)+ROUND(J82,0)</f>
        <v>279087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0</v>
      </c>
      <c r="P84" s="422">
        <f>+ROUND(P49,0)-ROUND(P78,0)+ROUND(P82,0)</f>
        <v>-180581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0</v>
      </c>
      <c r="G85" s="322">
        <f>+ROUND(G102,0)+ROUND(G121,0)+ROUND(G127,0)-ROUND(G132,0)</f>
        <v>459668</v>
      </c>
      <c r="H85" s="15"/>
      <c r="I85" s="323">
        <f>+ROUND(I102,0)+ROUND(I121,0)+ROUND(I127,0)-ROUND(I132,0)</f>
        <v>0</v>
      </c>
      <c r="J85" s="322">
        <f>+ROUND(J102,0)+ROUND(J121,0)+ROUND(J127,0)-ROUND(J132,0)</f>
        <v>-279087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0</v>
      </c>
      <c r="P85" s="424">
        <f>+ROUND(P102,0)+ROUND(P121,0)+ROUND(P127,0)-ROUND(P132,0)</f>
        <v>180581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>
        <v>96296</v>
      </c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96296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96296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96296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>
        <v>2687</v>
      </c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2687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2687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2687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98983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98983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/>
      <c r="G110" s="262">
        <v>-104194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0</v>
      </c>
      <c r="P110" s="417">
        <f>+ROUND(+G110+J110+M110,0)</f>
        <v>-104194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0</v>
      </c>
      <c r="G111" s="290">
        <f>+ROUND(+SUM(G109:G110),0)</f>
        <v>-104194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0</v>
      </c>
      <c r="P111" s="415">
        <f>+ROUND(+SUM(P109:P110),0)</f>
        <v>-104194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>
        <v>-56198</v>
      </c>
      <c r="H117" s="15"/>
      <c r="I117" s="289"/>
      <c r="J117" s="288"/>
      <c r="K117" s="256"/>
      <c r="L117" s="289"/>
      <c r="M117" s="288">
        <v>-351953</v>
      </c>
      <c r="N117" s="256"/>
      <c r="O117" s="399">
        <f>+ROUND(+F117+I117+L117,0)</f>
        <v>0</v>
      </c>
      <c r="P117" s="392">
        <f>+ROUND(+G117+J117+M117,0)</f>
        <v>-408151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>
        <v>5291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5291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-50907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0</v>
      </c>
      <c r="M119" s="290">
        <f>+ROUND(+SUM(M117:M118),0)</f>
        <v>-351953</v>
      </c>
      <c r="N119" s="256"/>
      <c r="O119" s="414">
        <f>+ROUND(+SUM(O117:O118),0)</f>
        <v>0</v>
      </c>
      <c r="P119" s="415">
        <f>+ROUND(+SUM(P117:P118),0)</f>
        <v>-402860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0</v>
      </c>
      <c r="G121" s="301">
        <f>+ROUND(G107+G111+G115+G119,0)</f>
        <v>-155101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0</v>
      </c>
      <c r="M121" s="301">
        <f>+ROUND(M107+M111+M115+M119,0)</f>
        <v>-351953</v>
      </c>
      <c r="N121" s="256"/>
      <c r="O121" s="418">
        <f>+ROUND(O107+O111+O115+O119,0)</f>
        <v>0</v>
      </c>
      <c r="P121" s="425">
        <f>+ROUND(P107+P111+P115+P119,0)</f>
        <v>-507054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>
        <v>276739</v>
      </c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276739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/>
      <c r="G124" s="262">
        <v>-511178</v>
      </c>
      <c r="H124" s="15"/>
      <c r="I124" s="263"/>
      <c r="J124" s="262">
        <v>-276963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-788141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>
        <v>2448</v>
      </c>
      <c r="K125" s="256"/>
      <c r="L125" s="263"/>
      <c r="M125" s="262"/>
      <c r="N125" s="256"/>
      <c r="O125" s="394">
        <f t="shared" si="7"/>
        <v>0</v>
      </c>
      <c r="P125" s="417">
        <f t="shared" si="7"/>
        <v>2448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0</v>
      </c>
      <c r="G127" s="299">
        <f>+ROUND(+SUM(G123:G126),0)</f>
        <v>-234439</v>
      </c>
      <c r="H127" s="15"/>
      <c r="I127" s="300">
        <f>+ROUND(+SUM(I123:I126),0)</f>
        <v>0</v>
      </c>
      <c r="J127" s="299">
        <f>+ROUND(+SUM(J123:J126),0)</f>
        <v>-274515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-508954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/>
      <c r="G129" s="258">
        <v>3214937</v>
      </c>
      <c r="H129" s="15"/>
      <c r="I129" s="259"/>
      <c r="J129" s="258"/>
      <c r="K129" s="256"/>
      <c r="L129" s="259"/>
      <c r="M129" s="258"/>
      <c r="N129" s="256"/>
      <c r="O129" s="398">
        <f aca="true" t="shared" si="8" ref="O129:P131">+ROUND(+F129+I129+L129,0)</f>
        <v>0</v>
      </c>
      <c r="P129" s="411">
        <f t="shared" si="8"/>
        <v>3214937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>
        <v>-3128</v>
      </c>
      <c r="H130" s="15"/>
      <c r="I130" s="263"/>
      <c r="J130" s="262">
        <v>-4572</v>
      </c>
      <c r="K130" s="256"/>
      <c r="L130" s="263"/>
      <c r="M130" s="262">
        <v>1582619</v>
      </c>
      <c r="N130" s="256"/>
      <c r="O130" s="394">
        <f t="shared" si="8"/>
        <v>0</v>
      </c>
      <c r="P130" s="417">
        <f t="shared" si="8"/>
        <v>1574919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/>
      <c r="G131" s="262">
        <v>2461584</v>
      </c>
      <c r="H131" s="15"/>
      <c r="I131" s="263"/>
      <c r="J131" s="262"/>
      <c r="K131" s="256"/>
      <c r="L131" s="263"/>
      <c r="M131" s="262">
        <v>1230666</v>
      </c>
      <c r="N131" s="256"/>
      <c r="O131" s="394">
        <f t="shared" si="8"/>
        <v>0</v>
      </c>
      <c r="P131" s="417">
        <f t="shared" si="8"/>
        <v>3692250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0</v>
      </c>
      <c r="G132" s="304">
        <f>+ROUND(+G131-G129-G130,0)</f>
        <v>-750225</v>
      </c>
      <c r="H132" s="15"/>
      <c r="I132" s="305">
        <f>+ROUND(+I131-I129-I130,0)</f>
        <v>0</v>
      </c>
      <c r="J132" s="304">
        <f>+ROUND(+J131-J129-J130,0)</f>
        <v>4572</v>
      </c>
      <c r="K132" s="256"/>
      <c r="L132" s="305">
        <f>+ROUND(+L131-L129-L130,0)</f>
        <v>0</v>
      </c>
      <c r="M132" s="304">
        <f>+ROUND(+M131-M129-M130,0)</f>
        <v>-351953</v>
      </c>
      <c r="N132" s="256"/>
      <c r="O132" s="428">
        <f>+ROUND(+O131-O129-O130,0)</f>
        <v>0</v>
      </c>
      <c r="P132" s="429">
        <f>+ROUND(+P131-P129-P130,0)</f>
        <v>-1097606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/>
      <c r="G141" s="645"/>
      <c r="H141" s="645"/>
      <c r="I141" s="646"/>
      <c r="J141" s="378"/>
      <c r="K141" s="16"/>
      <c r="L141" s="378" t="s">
        <v>250</v>
      </c>
      <c r="M141" s="644"/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9 K24:L24 K61:L82 K144:L145 K143 N144:O145 N143 K118:L125 K117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>
        <f>+'Cash-Flow-2017-Leva'!B1:F1</f>
        <v>0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0</v>
      </c>
      <c r="J1" s="668"/>
      <c r="K1" s="473"/>
      <c r="L1" s="474" t="s">
        <v>275</v>
      </c>
      <c r="M1" s="475">
        <f>+'Cash-Flow-2017-Leva'!M1</f>
        <v>1600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>
        <f>+B1</f>
        <v>0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31.03.2017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31.03.2017 г.</v>
      </c>
      <c r="G11" s="430">
        <f>+'Cash-Flow-2017-Leva'!G11</f>
        <v>2016</v>
      </c>
      <c r="H11" s="5"/>
      <c r="I11" s="130" t="str">
        <f>+O8</f>
        <v>31.03.2017 г.</v>
      </c>
      <c r="J11" s="431">
        <f>+'Cash-Flow-2017-Leva'!J11</f>
        <v>2016</v>
      </c>
      <c r="K11" s="5"/>
      <c r="L11" s="128" t="str">
        <f>+O8</f>
        <v>31.03.2017 г.</v>
      </c>
      <c r="M11" s="432">
        <f>+'Cash-Flow-2017-Leva'!M11</f>
        <v>2016</v>
      </c>
      <c r="N11" s="511"/>
      <c r="O11" s="386" t="str">
        <f>+O8</f>
        <v>31.03.2017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0</v>
      </c>
      <c r="G16" s="307">
        <f>+'Cash-Flow-2017-Leva'!G16/1000</f>
        <v>7433.756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0</v>
      </c>
      <c r="P16" s="446">
        <f t="shared" si="1"/>
        <v>7433.756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0</v>
      </c>
      <c r="G17" s="307">
        <f>+'Cash-Flow-2017-Leva'!G17/1000</f>
        <v>348.429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0</v>
      </c>
      <c r="P17" s="446">
        <f t="shared" si="1"/>
        <v>348.429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0</v>
      </c>
      <c r="G18" s="307">
        <f>+'Cash-Flow-2017-Leva'!G18/1000</f>
        <v>1344.997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0</v>
      </c>
      <c r="P18" s="446">
        <f t="shared" si="1"/>
        <v>1344.997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0</v>
      </c>
      <c r="G19" s="307">
        <f>+'Cash-Flow-2017-Leva'!G19/1000</f>
        <v>81.797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0</v>
      </c>
      <c r="P19" s="446">
        <f t="shared" si="1"/>
        <v>81.797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</v>
      </c>
      <c r="G21" s="307">
        <f>+'Cash-Flow-2017-Leva'!G21/1000</f>
        <v>0.002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</v>
      </c>
      <c r="P21" s="446">
        <f t="shared" si="1"/>
        <v>0.002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</v>
      </c>
      <c r="G23" s="296">
        <f>+'Cash-Flow-2017-Leva'!G23/1000</f>
        <v>8.817</v>
      </c>
      <c r="H23" s="306"/>
      <c r="I23" s="297">
        <f>+'Cash-Flow-2017-Leva'!I23/1000</f>
        <v>0</v>
      </c>
      <c r="J23" s="296">
        <f>+'Cash-Flow-2017-Leva'!J23/1000</f>
        <v>-0.017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</v>
      </c>
      <c r="P23" s="417">
        <f t="shared" si="1"/>
        <v>8.8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0</v>
      </c>
      <c r="G24" s="264">
        <f>+SUM(G15:G23)</f>
        <v>9217.798</v>
      </c>
      <c r="H24" s="306"/>
      <c r="I24" s="265">
        <f>+SUM(I15:I23)</f>
        <v>0</v>
      </c>
      <c r="J24" s="264">
        <f>+SUM(J15:J23)</f>
        <v>-0.017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0</v>
      </c>
      <c r="P24" s="396">
        <f>+SUM(P15:P23)</f>
        <v>9217.781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7.158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7.158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0</v>
      </c>
      <c r="G29" s="264">
        <f>+SUM(G26:G28)</f>
        <v>7.158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0</v>
      </c>
      <c r="P29" s="396">
        <f>+SUM(P26:P28)</f>
        <v>7.158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0</v>
      </c>
      <c r="G36" s="264">
        <f>+'Cash-Flow-2017-Leva'!G36/1000</f>
        <v>-75.27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0</v>
      </c>
      <c r="P36" s="396">
        <f t="shared" si="3"/>
        <v>-75.27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0</v>
      </c>
      <c r="G37" s="309">
        <f>+'Cash-Flow-2017-Leva'!G37/1000</f>
        <v>-0.974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0</v>
      </c>
      <c r="P37" s="447">
        <f t="shared" si="3"/>
        <v>-0.974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0</v>
      </c>
      <c r="G38" s="311">
        <f>+'Cash-Flow-2017-Leva'!G38/1000</f>
        <v>-14.126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0</v>
      </c>
      <c r="P38" s="448">
        <f t="shared" si="3"/>
        <v>-14.126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7.528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7.528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29.163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29.163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35.078</v>
      </c>
      <c r="H44" s="306"/>
      <c r="I44" s="308">
        <f>+'Cash-Flow-2017-Leva'!I44/1000</f>
        <v>0</v>
      </c>
      <c r="J44" s="307">
        <f>+'Cash-Flow-2017-Leva'!J44/1000</f>
        <v>92.99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128.06799999999998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0</v>
      </c>
      <c r="G46" s="296">
        <f>+'Cash-Flow-2017-Leva'!G46/1000</f>
        <v>33.752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0</v>
      </c>
      <c r="P46" s="417">
        <f t="shared" si="4"/>
        <v>33.752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0</v>
      </c>
      <c r="G47" s="264">
        <f>+SUM(G43:G46)</f>
        <v>68.83000000000001</v>
      </c>
      <c r="H47" s="306"/>
      <c r="I47" s="265">
        <f>+SUM(I43:I46)</f>
        <v>0</v>
      </c>
      <c r="J47" s="264">
        <f>+SUM(J43:J46)</f>
        <v>122.15299999999999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0</v>
      </c>
      <c r="P47" s="396">
        <f>+SUM(P43:P46)</f>
        <v>190.983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0</v>
      </c>
      <c r="G49" s="286">
        <f>+G24+G29+G36+G41+G47</f>
        <v>9226.044</v>
      </c>
      <c r="H49" s="306"/>
      <c r="I49" s="287">
        <f>+I24+I29+I36+I41+I47</f>
        <v>0</v>
      </c>
      <c r="J49" s="286">
        <f>+J24+J29+J36+J41+J47</f>
        <v>122.136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0</v>
      </c>
      <c r="P49" s="413">
        <f>+P24+P29+P36+P41+P47</f>
        <v>9348.18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0</v>
      </c>
      <c r="G52" s="257">
        <f>+'Cash-Flow-2017-Leva'!G52/1000</f>
        <v>29944.707</v>
      </c>
      <c r="H52" s="306"/>
      <c r="I52" s="267">
        <f>+'Cash-Flow-2017-Leva'!I52/1000</f>
        <v>0</v>
      </c>
      <c r="J52" s="257">
        <f>+'Cash-Flow-2017-Leva'!J52/1000</f>
        <v>349.191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0</v>
      </c>
      <c r="P52" s="392">
        <f t="shared" si="5"/>
        <v>30293.897999999997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0</v>
      </c>
      <c r="G53" s="296">
        <f>+'Cash-Flow-2017-Leva'!G53/1000</f>
        <v>459.132</v>
      </c>
      <c r="H53" s="306"/>
      <c r="I53" s="297">
        <f>+'Cash-Flow-2017-Leva'!I53/1000</f>
        <v>0</v>
      </c>
      <c r="J53" s="296">
        <f>+'Cash-Flow-2017-Leva'!J53/1000</f>
        <v>0.057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0</v>
      </c>
      <c r="P53" s="417">
        <f t="shared" si="5"/>
        <v>459.189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0</v>
      </c>
      <c r="G54" s="296">
        <f>+'Cash-Flow-2017-Leva'!G54/1000</f>
        <v>374.708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0</v>
      </c>
      <c r="P54" s="417">
        <f t="shared" si="5"/>
        <v>374.708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0</v>
      </c>
      <c r="G55" s="296">
        <f>+'Cash-Flow-2017-Leva'!G55/1000</f>
        <v>37674.889</v>
      </c>
      <c r="H55" s="306"/>
      <c r="I55" s="297">
        <f>+'Cash-Flow-2017-Leva'!I55/1000</f>
        <v>0</v>
      </c>
      <c r="J55" s="296">
        <f>+'Cash-Flow-2017-Leva'!J55/1000</f>
        <v>72.649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0</v>
      </c>
      <c r="P55" s="417">
        <f t="shared" si="5"/>
        <v>37747.538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0</v>
      </c>
      <c r="G56" s="296">
        <f>+'Cash-Flow-2017-Leva'!G56/1000</f>
        <v>7403.486</v>
      </c>
      <c r="H56" s="306"/>
      <c r="I56" s="297">
        <f>+'Cash-Flow-2017-Leva'!I56/1000</f>
        <v>0</v>
      </c>
      <c r="J56" s="296">
        <f>+'Cash-Flow-2017-Leva'!J56/1000</f>
        <v>5.365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0</v>
      </c>
      <c r="P56" s="417">
        <f t="shared" si="5"/>
        <v>7408.851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0</v>
      </c>
      <c r="G57" s="290">
        <f>+SUM(G52:G56)</f>
        <v>75856.922</v>
      </c>
      <c r="H57" s="306"/>
      <c r="I57" s="291">
        <f>+SUM(I52:I56)</f>
        <v>0</v>
      </c>
      <c r="J57" s="290">
        <f>+SUM(J52:J56)</f>
        <v>427.262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0</v>
      </c>
      <c r="P57" s="415">
        <f>+SUM(P52:P56)</f>
        <v>76284.184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0</v>
      </c>
      <c r="G60" s="296">
        <f>+'Cash-Flow-2017-Leva'!G60/1000</f>
        <v>148.115</v>
      </c>
      <c r="H60" s="306"/>
      <c r="I60" s="297">
        <f>+'Cash-Flow-2017-Leva'!I60/1000</f>
        <v>0</v>
      </c>
      <c r="J60" s="296">
        <f>+'Cash-Flow-2017-Leva'!J60/1000</f>
        <v>715.998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0</v>
      </c>
      <c r="P60" s="417">
        <f t="shared" si="6"/>
        <v>864.113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0</v>
      </c>
      <c r="G61" s="296">
        <f>+'Cash-Flow-2017-Leva'!G61/1000</f>
        <v>81.552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0</v>
      </c>
      <c r="P61" s="417">
        <f t="shared" si="6"/>
        <v>81.552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0</v>
      </c>
      <c r="G64" s="290">
        <f>+SUM(G59:G62)</f>
        <v>229.66700000000003</v>
      </c>
      <c r="H64" s="306"/>
      <c r="I64" s="291">
        <f>+SUM(I59:I62)</f>
        <v>0</v>
      </c>
      <c r="J64" s="290">
        <f>+SUM(J59:J62)</f>
        <v>715.998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0</v>
      </c>
      <c r="P64" s="415">
        <f>+SUM(P59:P62)</f>
        <v>945.6650000000001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</v>
      </c>
      <c r="G66" s="257">
        <f>+'Cash-Flow-2017-Leva'!G66/1000</f>
        <v>2.663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</v>
      </c>
      <c r="P66" s="392">
        <f>+G66+J66+M66</f>
        <v>2.663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</v>
      </c>
      <c r="G68" s="290">
        <f>+SUM(G66:G67)</f>
        <v>2.663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</v>
      </c>
      <c r="P68" s="415">
        <f>+SUM(P66:P67)</f>
        <v>2.663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0</v>
      </c>
      <c r="G70" s="257">
        <f>+'Cash-Flow-2017-Leva'!G70/1000</f>
        <v>5704.112</v>
      </c>
      <c r="H70" s="306"/>
      <c r="I70" s="267">
        <f>+'Cash-Flow-2017-Leva'!I70/1000</f>
        <v>0</v>
      </c>
      <c r="J70" s="257">
        <f>+'Cash-Flow-2017-Leva'!J70/1000</f>
        <v>42.515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0</v>
      </c>
      <c r="P70" s="392">
        <f>+G70+J70+M70</f>
        <v>5746.627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0</v>
      </c>
      <c r="G72" s="290">
        <f>+SUM(G70:G71)</f>
        <v>5704.112</v>
      </c>
      <c r="H72" s="306"/>
      <c r="I72" s="291">
        <f>+SUM(I70:I71)</f>
        <v>0</v>
      </c>
      <c r="J72" s="290">
        <f>+SUM(J70:J71)</f>
        <v>42.515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0</v>
      </c>
      <c r="P72" s="415">
        <f>+SUM(P70:P71)</f>
        <v>5746.627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0</v>
      </c>
      <c r="G74" s="257">
        <f>+'Cash-Flow-2017-Leva'!G74/1000</f>
        <v>25934.219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0</v>
      </c>
      <c r="P74" s="392">
        <f>+G74+J74+M74</f>
        <v>25934.219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8002.251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8002.251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0</v>
      </c>
      <c r="G76" s="290">
        <f>+SUM(G74:G75)</f>
        <v>33936.47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0</v>
      </c>
      <c r="P76" s="415">
        <f>+SUM(P74:P75)</f>
        <v>33936.47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0</v>
      </c>
      <c r="G78" s="301">
        <f>+G57+G64+G68+G72+G76</f>
        <v>115729.834</v>
      </c>
      <c r="H78" s="306"/>
      <c r="I78" s="298">
        <f>+I57+I64+I68+I72+I76</f>
        <v>0</v>
      </c>
      <c r="J78" s="301">
        <f>+J57+J64+J68+J72+J76</f>
        <v>1185.775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0</v>
      </c>
      <c r="P78" s="425">
        <f>+P57+P64+P68+P72+P76</f>
        <v>116915.609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0</v>
      </c>
      <c r="G80" s="284">
        <f>+'Cash-Flow-2017-Leva'!G80/1000</f>
        <v>106044.122</v>
      </c>
      <c r="H80" s="306"/>
      <c r="I80" s="285">
        <f>+'Cash-Flow-2017-Leva'!I80/1000</f>
        <v>0</v>
      </c>
      <c r="J80" s="284">
        <f>+'Cash-Flow-2017-Leva'!J80/1000</f>
        <v>1342.726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0</v>
      </c>
      <c r="P80" s="411">
        <f>+G80+J80+M80</f>
        <v>107386.848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0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0</v>
      </c>
      <c r="G82" s="299">
        <f>+G80+G81</f>
        <v>106044.122</v>
      </c>
      <c r="H82" s="306"/>
      <c r="I82" s="300">
        <f>+I80+I81</f>
        <v>0</v>
      </c>
      <c r="J82" s="299">
        <f>+J80+J81</f>
        <v>1342.726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0</v>
      </c>
      <c r="P82" s="420">
        <f>+P80+P81</f>
        <v>107386.848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0</v>
      </c>
      <c r="G84" s="320">
        <f>+G49-G78+G82</f>
        <v>-459.6680000000051</v>
      </c>
      <c r="H84" s="306"/>
      <c r="I84" s="321">
        <f>+I49-I78+I82</f>
        <v>0</v>
      </c>
      <c r="J84" s="320">
        <f>+J49-J78+J82</f>
        <v>279.087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0</v>
      </c>
      <c r="P84" s="422">
        <f>+P49-P78+P82</f>
        <v>-180.5810000000056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0</v>
      </c>
      <c r="G85" s="322">
        <f>+G102+G121+G127-G132</f>
        <v>459.668</v>
      </c>
      <c r="H85" s="306"/>
      <c r="I85" s="323">
        <f>+I102+I121+I127-I132</f>
        <v>0</v>
      </c>
      <c r="J85" s="322">
        <f>+J102+J121+J127-J132</f>
        <v>-279.08700000000005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0</v>
      </c>
      <c r="P85" s="424">
        <f>+P102+P121+P127-P132</f>
        <v>180.58099999999968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96.296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96.296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96.296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96.296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2.687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2.687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2.687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2.687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98.983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98.983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0</v>
      </c>
      <c r="G110" s="296">
        <f>+'Cash-Flow-2017-Leva'!G110/1000</f>
        <v>-104.194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0</v>
      </c>
      <c r="P110" s="417">
        <f>+G110+J110+M110</f>
        <v>-104.194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0</v>
      </c>
      <c r="G111" s="290">
        <f>+SUM(G109:G110)</f>
        <v>-104.194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0</v>
      </c>
      <c r="P111" s="415">
        <f>+SUM(P109:P110)</f>
        <v>-104.194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-56.198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0</v>
      </c>
      <c r="M117" s="257">
        <f>+'Cash-Flow-2017-Leva'!M117/1000</f>
        <v>-351.953</v>
      </c>
      <c r="N117" s="512"/>
      <c r="O117" s="399">
        <f>+F117+I117+L117</f>
        <v>0</v>
      </c>
      <c r="P117" s="392">
        <f>+G117+J117+M117</f>
        <v>-408.15099999999995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5.291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5.291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-50.907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0</v>
      </c>
      <c r="M119" s="290">
        <f>+SUM(M117:M118)</f>
        <v>-351.953</v>
      </c>
      <c r="N119" s="512"/>
      <c r="O119" s="414">
        <f>+SUM(O117:O118)</f>
        <v>0</v>
      </c>
      <c r="P119" s="415">
        <f>+SUM(P117:P118)</f>
        <v>-402.85999999999996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0</v>
      </c>
      <c r="G121" s="301">
        <f>+G107+G111+G115+G119</f>
        <v>-155.101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0</v>
      </c>
      <c r="M121" s="301">
        <f>+M107+M111+M115+M119</f>
        <v>-351.953</v>
      </c>
      <c r="N121" s="512"/>
      <c r="O121" s="418">
        <f>+O107+O111+O115+O119</f>
        <v>0</v>
      </c>
      <c r="P121" s="425">
        <f>+P107+P111+P115+P119</f>
        <v>-507.054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276.739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276.739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0</v>
      </c>
      <c r="G124" s="296">
        <f>+'Cash-Flow-2017-Leva'!G124/1000</f>
        <v>-511.178</v>
      </c>
      <c r="H124" s="306"/>
      <c r="I124" s="297">
        <f>+'Cash-Flow-2017-Leva'!I124/1000</f>
        <v>0</v>
      </c>
      <c r="J124" s="296">
        <f>+'Cash-Flow-2017-Leva'!J124/1000</f>
        <v>-276.963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-788.1410000000001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2.448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2.448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0</v>
      </c>
      <c r="G127" s="299">
        <f>+SUM(G123:G126)</f>
        <v>-234.43900000000002</v>
      </c>
      <c r="H127" s="306"/>
      <c r="I127" s="300">
        <f>+SUM(I123:I126)</f>
        <v>0</v>
      </c>
      <c r="J127" s="299">
        <f>+SUM(J123:J126)</f>
        <v>-274.51500000000004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-508.9540000000001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0</v>
      </c>
      <c r="G129" s="284">
        <f>+'Cash-Flow-2017-Leva'!G129/1000</f>
        <v>3214.937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0</v>
      </c>
      <c r="M129" s="284">
        <f>+'Cash-Flow-2017-Leva'!M129/1000</f>
        <v>0</v>
      </c>
      <c r="N129" s="512"/>
      <c r="O129" s="398">
        <f aca="true" t="shared" si="9" ref="O129:P131">+F129+I129+L129</f>
        <v>0</v>
      </c>
      <c r="P129" s="411">
        <f t="shared" si="9"/>
        <v>3214.937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-3.128</v>
      </c>
      <c r="H130" s="306"/>
      <c r="I130" s="297">
        <f>+'Cash-Flow-2017-Leva'!I130/1000</f>
        <v>0</v>
      </c>
      <c r="J130" s="296">
        <f>+'Cash-Flow-2017-Leva'!J130/1000</f>
        <v>-4.572</v>
      </c>
      <c r="K130" s="306"/>
      <c r="L130" s="297">
        <f>+'Cash-Flow-2017-Leva'!L130/1000</f>
        <v>0</v>
      </c>
      <c r="M130" s="296">
        <f>+'Cash-Flow-2017-Leva'!M130/1000</f>
        <v>1582.619</v>
      </c>
      <c r="N130" s="512"/>
      <c r="O130" s="394">
        <f t="shared" si="9"/>
        <v>0</v>
      </c>
      <c r="P130" s="417">
        <f t="shared" si="9"/>
        <v>1574.9189999999999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0</v>
      </c>
      <c r="G131" s="296">
        <f>+'Cash-Flow-2017-Leva'!G131/1000</f>
        <v>2461.584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0</v>
      </c>
      <c r="M131" s="296">
        <f>+'Cash-Flow-2017-Leva'!M131/1000</f>
        <v>1230.666</v>
      </c>
      <c r="N131" s="512"/>
      <c r="O131" s="394">
        <f t="shared" si="9"/>
        <v>0</v>
      </c>
      <c r="P131" s="417">
        <f t="shared" si="9"/>
        <v>3692.25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0</v>
      </c>
      <c r="G132" s="304">
        <f>+G131-G129-G130</f>
        <v>-750.225</v>
      </c>
      <c r="H132" s="306"/>
      <c r="I132" s="305">
        <f>+I131-I129-I130</f>
        <v>0</v>
      </c>
      <c r="J132" s="304">
        <f>+J131-J129-J130</f>
        <v>4.572</v>
      </c>
      <c r="K132" s="306"/>
      <c r="L132" s="305">
        <f>+L131-L129-L130</f>
        <v>0</v>
      </c>
      <c r="M132" s="304">
        <f>+M131-M129-M130</f>
        <v>-351.953</v>
      </c>
      <c r="N132" s="512"/>
      <c r="O132" s="428">
        <f>+O131-O129-O130</f>
        <v>0</v>
      </c>
      <c r="P132" s="429">
        <f>+P131-P129-P130</f>
        <v>-1097.6059999999998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2017-03-31T15:04:28Z</cp:lastPrinted>
  <dcterms:created xsi:type="dcterms:W3CDTF">2015-12-01T07:17:04Z</dcterms:created>
  <dcterms:modified xsi:type="dcterms:W3CDTF">2017-05-09T08:18:45Z</dcterms:modified>
  <cp:category/>
  <cp:version/>
  <cp:contentType/>
  <cp:contentStatus/>
</cp:coreProperties>
</file>