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05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<sst xmlns="http://schemas.openxmlformats.org/spreadsheetml/2006/main" count="673" uniqueCount="458">
  <si>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</si>
  <si>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</si>
  <si>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</si>
  <si>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</si>
  <si>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</si>
  <si>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</si>
  <si>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</si>
  <si>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</si>
  <si>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</si>
  <si>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</si>
  <si>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</si>
  <si>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</si>
  <si>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</si>
  <si>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</si>
  <si>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</si>
  <si>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</si>
  <si>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</si>
  <si>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</si>
  <si>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</si>
  <si>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</si>
  <si>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</si>
  <si>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</si>
  <si>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</si>
  <si>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</si>
  <si>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</si>
  <si>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</si>
  <si>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</si>
  <si>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</si>
  <si>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</si>
  <si>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</si>
  <si>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</si>
  <si>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</si>
  <si>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</si>
  <si>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</si>
  <si>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</si>
  <si>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</si>
  <si>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</si>
  <si>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</si>
  <si>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</si>
  <si>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</si>
  <si>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</si>
  <si>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</si>
  <si>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</si>
  <si>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</si>
  <si>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</si>
  <si>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</si>
  <si>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</si>
  <si>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</si>
  <si>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</si>
  <si>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</si>
  <si>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</si>
  <si>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</si>
  <si>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</si>
  <si>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</si>
  <si>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</si>
  <si>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</si>
  <si>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</si>
  <si>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</si>
  <si>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</si>
  <si>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</si>
  <si>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</si>
  <si>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</si>
  <si>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</si>
  <si>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</si>
  <si>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</si>
  <si>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</si>
  <si>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</si>
  <si>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</si>
  <si>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</si>
  <si>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</si>
  <si>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</si>
  <si>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</si>
  <si>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</si>
  <si>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</si>
  <si>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</si>
  <si>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</si>
  <si>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</si>
  <si>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</si>
  <si>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</si>
  <si>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</si>
  <si>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</si>
  <si>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</si>
  <si>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</si>
  <si>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</si>
  <si>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</si>
  <si>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</si>
  <si>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</si>
  <si>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</si>
  <si>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</si>
  <si>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</si>
  <si>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</si>
  <si>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</si>
  <si>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</si>
  <si>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</si>
  <si>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</si>
  <si>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</si>
  <si>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</si>
  <si>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</si>
  <si>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</si>
  <si>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</si>
  <si>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</si>
  <si>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</si>
  <si>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</si>
  <si>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</si>
  <si>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</si>
  <si>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</si>
  <si>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</si>
  <si>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</si>
  <si>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</si>
  <si>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</si>
  <si>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</si>
  <si>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</si>
  <si>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</si>
  <si>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</si>
  <si>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</si>
  <si>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</si>
  <si>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</si>
  <si>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</si>
  <si>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</si>
  <si>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</si>
  <si>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</si>
  <si>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</si>
  <si>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</si>
  <si>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</si>
  <si>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</si>
  <si>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</si>
  <si>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</si>
  <si>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</si>
  <si>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</si>
  <si>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</si>
  <si>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</si>
  <si>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</si>
  <si>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</si>
  <si>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</si>
  <si>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</si>
  <si>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</si>
  <si>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</si>
  <si>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</si>
  <si>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</si>
  <si>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</si>
  <si>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</si>
  <si>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</si>
  <si>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</si>
  <si>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</si>
  <si>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</si>
  <si>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</si>
  <si>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</si>
  <si>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</si>
  <si>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</si>
  <si>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</si>
  <si>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</si>
  <si>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</si>
  <si>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</si>
  <si>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</si>
  <si>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</si>
  <si>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</si>
  <si>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</si>
  <si>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</si>
  <si>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</si>
  <si>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</si>
  <si>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</si>
  <si>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</si>
  <si>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</si>
  <si>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</si>
  <si>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</si>
  <si>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</si>
  <si>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</si>
  <si>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</si>
  <si>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</si>
  <si>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</si>
  <si>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</si>
  <si>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</si>
  <si>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</si>
  <si>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</si>
  <si>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</si>
  <si>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</si>
  <si>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</si>
  <si>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</si>
  <si>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</si>
  <si>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</si>
  <si>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</si>
  <si>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</si>
  <si>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</si>
  <si>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</si>
  <si>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</si>
  <si>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</si>
  <si>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</si>
  <si>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</si>
  <si>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</si>
  <si>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</si>
  <si>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</si>
  <si>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</si>
  <si>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</si>
  <si>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</si>
  <si>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</si>
  <si>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</si>
  <si>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</si>
  <si>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</si>
  <si>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</si>
  <si>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</si>
  <si>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</si>
  <si>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</si>
  <si>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</si>
  <si>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</si>
  <si>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</si>
  <si>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</si>
  <si>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</si>
  <si>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</si>
  <si>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</si>
  <si>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</si>
  <si>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</si>
  <si>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</si>
  <si>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</si>
  <si>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</si>
  <si>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</si>
  <si>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</si>
  <si>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</si>
  <si>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</si>
  <si>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</si>
  <si>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</si>
  <si>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</si>
  <si>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</si>
  <si>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</si>
  <si>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</si>
  <si>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</si>
  <si>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</si>
  <si>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</si>
  <si>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</si>
  <si>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</si>
  <si>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</si>
  <si>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</si>
  <si>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</si>
  <si>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</si>
  <si>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</si>
  <si>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</si>
  <si>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</si>
  <si>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</si>
  <si>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</si>
  <si>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</si>
  <si>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</si>
  <si>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</si>
  <si>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</si>
  <si>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</si>
  <si>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</si>
  <si>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</si>
  <si>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</si>
  <si>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</si>
  <si>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</si>
  <si>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</si>
  <si>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</si>
  <si>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</si>
  <si>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</si>
  <si>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</si>
  <si>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</si>
  <si>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</si>
  <si>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</si>
  <si>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</si>
  <si>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</si>
  <si>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</si>
  <si>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</si>
  <si>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</si>
  <si>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</si>
  <si>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</si>
  <si>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</si>
  <si>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</si>
  <si>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</si>
  <si>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</si>
  <si>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</si>
  <si>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</si>
  <si>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</si>
  <si>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</si>
  <si>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</si>
  <si>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</si>
  <si>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</si>
  <si>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</si>
  <si>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</si>
  <si>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</si>
  <si>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</si>
  <si>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</si>
  <si>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</si>
  <si>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</si>
  <si>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</si>
  <si>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</si>
  <si>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</si>
  <si>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</si>
  <si>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</si>
  <si>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</si>
  <si>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</si>
  <si>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</si>
  <si>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</si>
  <si>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</si>
  <si>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</si>
  <si>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</si>
  <si>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</si>
  <si>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</si>
  <si>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</si>
  <si>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</si>
  <si>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</si>
  <si>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</si>
  <si>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</si>
  <si>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</si>
  <si>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</si>
  <si>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</si>
  <si>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</si>
  <si>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</si>
  <si>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</si>
  <si>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</si>
  <si>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</si>
  <si>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</si>
  <si>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</si>
  <si>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</si>
  <si>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</si>
  <si>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</si>
  <si>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</si>
  <si>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</si>
  <si>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</si>
  <si>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</si>
  <si>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</si>
  <si>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</si>
  <si>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</si>
  <si>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</si>
  <si>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</si>
  <si>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</si>
  <si>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</si>
  <si>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</si>
  <si>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</si>
  <si>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</si>
  <si>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</si>
  <si>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</si>
  <si>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</si>
  <si>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</si>
  <si>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</si>
  <si>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</si>
  <si>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</si>
  <si>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</si>
  <si>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</si>
  <si>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</si>
  <si>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</si>
  <si>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</si>
  <si>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</si>
  <si>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</si>
  <si>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</si>
  <si>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</si>
  <si>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</si>
  <si>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</si>
  <si>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</si>
  <si>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</si>
  <si>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</si>
  <si>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</si>
  <si>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</si>
  <si>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</si>
  <si>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</si>
  <si>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</si>
  <si>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</si>
  <si>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</si>
  <si>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</si>
  <si>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</si>
  <si>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</si>
  <si>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</si>
  <si>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</si>
  <si>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</si>
  <si>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</si>
  <si>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</si>
  <si>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</si>
  <si>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</si>
  <si>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</si>
  <si>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</si>
  <si>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</si>
  <si>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</si>
  <si>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</si>
  <si>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</si>
  <si>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</si>
  <si>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</si>
  <si>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</si>
  <si>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</si>
  <si>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</si>
  <si>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</si>
  <si>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</si>
  <si>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</si>
  <si>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</si>
  <si>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</si>
  <si>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</si>
  <si>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</si>
  <si>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</si>
  <si>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</si>
  <si>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</si>
  <si>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</si>
  <si>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</si>
  <si>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</si>
  <si>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</si>
  <si>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</si>
  <si>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</si>
  <si>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</si>
  <si>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</si>
  <si>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</si>
  <si>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</si>
  <si>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</si>
  <si>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</si>
  <si>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</si>
  <si>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</si>
  <si>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</si>
  <si>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</si>
  <si>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</si>
  <si>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</si>
  <si>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</si>
  <si>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</si>
  <si>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</si>
  <si>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</si>
  <si>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</si>
  <si>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</si>
  <si>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</si>
  <si>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</si>
  <si>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</si>
  <si>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</si>
  <si>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</si>
  <si>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</si>
  <si>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</si>
  <si>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</si>
  <si>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</si>
  <si>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</si>
  <si>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</si>
  <si>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</si>
  <si>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</si>
  <si>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</si>
  <si>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</si>
  <si>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</si>
  <si>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</si>
  <si>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</si>
  <si>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</si>
  <si>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</si>
  <si>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</si>
  <si>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</si>
  <si>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</si>
  <si>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</si>
  <si>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</si>
  <si>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</si>
  <si>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</si>
  <si>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</si>
  <si>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</si>
  <si>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</si>
  <si>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</si>
  <si>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</si>
  <si>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</si>
  <si>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</si>
  <si>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</si>
  <si>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</si>
  <si>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</si>
  <si>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</si>
  <si>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</si>
  <si>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</si>
  <si>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</si>
  <si>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</si>
  <si>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</si>
  <si>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</si>
  <si>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</si>
  <si>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</si>
  <si>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</si>
  <si>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Д-Р АСЕН МЕДЖИДИЕВ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</si>
</sst>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1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5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6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7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8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59" fillId="33" borderId="27" xfId="0" applyNumberFormat="1" applyFont="1" applyFill="1" applyBorder="1" applyAlignment="1" applyProtection="1">
      <alignment horizontal="center"/>
      <protection locked="0"/>
    </xf>
    <xf numFmtId="185" fontId="159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0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1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2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3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6" fillId="39" borderId="102" xfId="0" applyNumberFormat="1" applyFont="1" applyFill="1" applyBorder="1" applyAlignment="1" applyProtection="1" quotePrefix="1">
      <alignment horizontal="center"/>
      <protection/>
    </xf>
    <xf numFmtId="193" fontId="162" fillId="41" borderId="102" xfId="0" applyNumberFormat="1" applyFont="1" applyFill="1" applyBorder="1" applyAlignment="1" applyProtection="1" quotePrefix="1">
      <alignment horizontal="center"/>
      <protection/>
    </xf>
    <xf numFmtId="193" fontId="163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24" fillId="38" borderId="105" xfId="0" applyNumberFormat="1" applyFont="1" applyFill="1" applyBorder="1" applyAlignment="1" applyProtection="1">
      <alignment horizontal="center"/>
      <protection/>
    </xf>
    <xf numFmtId="184" fontId="164" fillId="38" borderId="104" xfId="0" applyNumberFormat="1" applyFont="1" applyFill="1" applyBorder="1" applyAlignment="1" applyProtection="1">
      <alignment horizontal="center"/>
      <protection/>
    </xf>
    <xf numFmtId="184" fontId="164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5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6" fillId="48" borderId="0" xfId="61" applyFont="1" applyFill="1" applyBorder="1" applyAlignment="1" applyProtection="1">
      <alignment horizontal="center"/>
      <protection/>
    </xf>
    <xf numFmtId="176" fontId="165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7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7" fillId="35" borderId="0" xfId="64" applyFont="1" applyFill="1" applyBorder="1" applyAlignment="1" applyProtection="1">
      <alignment/>
      <protection/>
    </xf>
    <xf numFmtId="0" fontId="166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1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8" fillId="35" borderId="0" xfId="64" applyFont="1" applyFill="1" applyBorder="1" applyProtection="1">
      <alignment/>
      <protection/>
    </xf>
    <xf numFmtId="0" fontId="168" fillId="35" borderId="0" xfId="64" applyFont="1" applyFill="1" applyProtection="1">
      <alignment/>
      <protection/>
    </xf>
    <xf numFmtId="182" fontId="169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0" fillId="33" borderId="27" xfId="64" applyNumberFormat="1" applyFont="1" applyFill="1" applyBorder="1" applyAlignment="1" applyProtection="1">
      <alignment horizontal="center" vertical="center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2" fillId="33" borderId="71" xfId="0" applyNumberFormat="1" applyFont="1" applyFill="1" applyBorder="1" applyAlignment="1" applyProtection="1" quotePrefix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2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2" fillId="33" borderId="116" xfId="0" applyNumberFormat="1" applyFont="1" applyFill="1" applyBorder="1" applyAlignment="1" applyProtection="1" quotePrefix="1">
      <alignment/>
      <protection/>
    </xf>
    <xf numFmtId="176" fontId="172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2" fillId="32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176" fontId="172" fillId="33" borderId="86" xfId="0" applyNumberFormat="1" applyFont="1" applyFill="1" applyBorder="1" applyAlignment="1" applyProtection="1" quotePrefix="1">
      <alignment/>
      <protection/>
    </xf>
    <xf numFmtId="176" fontId="173" fillId="33" borderId="87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4" fillId="51" borderId="118" xfId="0" applyNumberFormat="1" applyFont="1" applyFill="1" applyBorder="1" applyAlignment="1" applyProtection="1">
      <alignment horizontal="center"/>
      <protection/>
    </xf>
    <xf numFmtId="184" fontId="175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175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7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24" fillId="38" borderId="120" xfId="0" applyNumberFormat="1" applyFont="1" applyFill="1" applyBorder="1" applyAlignment="1" applyProtection="1">
      <alignment horizontal="center"/>
      <protection/>
    </xf>
    <xf numFmtId="184" fontId="164" fillId="38" borderId="119" xfId="0" applyNumberFormat="1" applyFont="1" applyFill="1" applyBorder="1" applyAlignment="1" applyProtection="1">
      <alignment horizontal="center"/>
      <protection/>
    </xf>
    <xf numFmtId="184" fontId="164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79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5" fillId="32" borderId="0" xfId="0" applyNumberFormat="1" applyFont="1" applyFill="1" applyBorder="1" applyAlignment="1" applyProtection="1" quotePrefix="1">
      <alignment horizontal="center"/>
      <protection/>
    </xf>
    <xf numFmtId="176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0" fillId="39" borderId="27" xfId="0" applyNumberFormat="1" applyFont="1" applyFill="1" applyBorder="1" applyAlignment="1" applyProtection="1">
      <alignment horizontal="center"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93" fontId="156" fillId="39" borderId="27" xfId="0" applyNumberFormat="1" applyFont="1" applyFill="1" applyBorder="1" applyAlignment="1" applyProtection="1" quotePrefix="1">
      <alignment horizontal="center"/>
      <protection/>
    </xf>
    <xf numFmtId="181" fontId="157" fillId="41" borderId="27" xfId="0" applyNumberFormat="1" applyFont="1" applyFill="1" applyBorder="1" applyAlignment="1" applyProtection="1" quotePrefix="1">
      <alignment horizontal="center"/>
      <protection/>
    </xf>
    <xf numFmtId="193" fontId="162" fillId="41" borderId="27" xfId="0" applyNumberFormat="1" applyFont="1" applyFill="1" applyBorder="1" applyAlignment="1" applyProtection="1" quotePrefix="1">
      <alignment horizontal="center"/>
      <protection/>
    </xf>
    <xf numFmtId="181" fontId="162" fillId="41" borderId="27" xfId="0" applyNumberFormat="1" applyFont="1" applyFill="1" applyBorder="1" applyAlignment="1" applyProtection="1" quotePrefix="1">
      <alignment horizontal="center"/>
      <protection/>
    </xf>
    <xf numFmtId="181" fontId="169" fillId="49" borderId="27" xfId="0" applyNumberFormat="1" applyFont="1" applyFill="1" applyBorder="1" applyAlignment="1" applyProtection="1" quotePrefix="1">
      <alignment horizontal="center"/>
      <protection/>
    </xf>
    <xf numFmtId="193" fontId="163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2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24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3" fillId="39" borderId="102" xfId="0" applyNumberFormat="1" applyFont="1" applyFill="1" applyBorder="1" applyAlignment="1" applyProtection="1" quotePrefix="1">
      <alignment horizontal="center"/>
      <protection/>
    </xf>
    <xf numFmtId="213" fontId="157" fillId="41" borderId="102" xfId="0" applyNumberFormat="1" applyFont="1" applyFill="1" applyBorder="1" applyAlignment="1" applyProtection="1" quotePrefix="1">
      <alignment horizontal="center"/>
      <protection/>
    </xf>
    <xf numFmtId="213" fontId="169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4" fillId="32" borderId="45" xfId="0" applyNumberFormat="1" applyFont="1" applyFill="1" applyBorder="1" applyAlignment="1" applyProtection="1">
      <alignment horizontal="center"/>
      <protection locked="0"/>
    </xf>
    <xf numFmtId="213" fontId="183" fillId="39" borderId="27" xfId="0" applyNumberFormat="1" applyFont="1" applyFill="1" applyBorder="1" applyAlignment="1" applyProtection="1">
      <alignment horizontal="center"/>
      <protection/>
    </xf>
    <xf numFmtId="213" fontId="157" fillId="41" borderId="27" xfId="0" applyNumberFormat="1" applyFont="1" applyFill="1" applyBorder="1" applyAlignment="1" applyProtection="1" quotePrefix="1">
      <alignment horizontal="center"/>
      <protection/>
    </xf>
    <xf numFmtId="213" fontId="169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5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0" fontId="23" fillId="38" borderId="0" xfId="57" applyNumberFormat="1" applyFont="1" applyFill="1" applyBorder="1" applyAlignment="1">
      <alignment/>
      <protection/>
    </xf>
    <xf numFmtId="212" fontId="23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23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23" fillId="32" borderId="20" xfId="57" applyNumberFormat="1" applyFont="1" applyFill="1" applyBorder="1">
      <alignment/>
      <protection/>
    </xf>
    <xf numFmtId="178" fontId="23" fillId="32" borderId="20" xfId="57" applyNumberFormat="1" applyFont="1" applyFill="1" applyBorder="1" applyAlignment="1">
      <alignment horizontal="left"/>
      <protection/>
    </xf>
    <xf numFmtId="210" fontId="186" fillId="55" borderId="0" xfId="63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23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23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23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8" fillId="32" borderId="0" xfId="0" applyNumberFormat="1" applyFont="1" applyFill="1" applyAlignment="1" applyProtection="1">
      <alignment horizontal="center"/>
      <protection/>
    </xf>
    <xf numFmtId="209" fontId="188" fillId="54" borderId="0" xfId="0" applyNumberFormat="1" applyFont="1" applyFill="1" applyAlignment="1" applyProtection="1">
      <alignment horizontal="center"/>
      <protection/>
    </xf>
    <xf numFmtId="38" fontId="179" fillId="43" borderId="42" xfId="65" applyNumberFormat="1" applyFont="1" applyFill="1" applyBorder="1" applyAlignment="1" applyProtection="1">
      <alignment horizontal="center"/>
      <protection/>
    </xf>
    <xf numFmtId="38" fontId="179" fillId="43" borderId="43" xfId="65" applyNumberFormat="1" applyFont="1" applyFill="1" applyBorder="1" applyAlignment="1" applyProtection="1">
      <alignment horizontal="center"/>
      <protection/>
    </xf>
    <xf numFmtId="38" fontId="179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89" fillId="45" borderId="28" xfId="57" applyNumberFormat="1" applyFont="1" applyFill="1" applyBorder="1" applyAlignment="1" applyProtection="1">
      <alignment horizontal="center" vertical="center"/>
      <protection locked="0"/>
    </xf>
    <xf numFmtId="188" fontId="189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0" fillId="46" borderId="65" xfId="65" applyNumberFormat="1" applyFont="1" applyFill="1" applyBorder="1" applyAlignment="1" applyProtection="1">
      <alignment horizontal="center"/>
      <protection/>
    </xf>
    <xf numFmtId="38" fontId="160" fillId="46" borderId="20" xfId="65" applyNumberFormat="1" applyFont="1" applyFill="1" applyBorder="1" applyAlignment="1" applyProtection="1">
      <alignment horizontal="center"/>
      <protection/>
    </xf>
    <xf numFmtId="38" fontId="160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0" fillId="33" borderId="61" xfId="61" applyFont="1" applyFill="1" applyBorder="1" applyAlignment="1" applyProtection="1">
      <alignment horizontal="center"/>
      <protection/>
    </xf>
    <xf numFmtId="0" fontId="190" fillId="33" borderId="0" xfId="61" applyFont="1" applyFill="1" applyBorder="1" applyAlignment="1" applyProtection="1">
      <alignment horizontal="center"/>
      <protection/>
    </xf>
    <xf numFmtId="0" fontId="190" fillId="33" borderId="30" xfId="61" applyFont="1" applyFill="1" applyBorder="1" applyAlignment="1" applyProtection="1">
      <alignment horizontal="center"/>
      <protection/>
    </xf>
    <xf numFmtId="0" fontId="166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1" fillId="32" borderId="0" xfId="60" applyNumberFormat="1" applyFont="1" applyFill="1" applyBorder="1" applyAlignment="1" applyProtection="1">
      <alignment horizontal="center"/>
      <protection/>
    </xf>
    <xf numFmtId="0" fontId="151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1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1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2" fillId="36" borderId="43" xfId="53" applyFont="1" applyFill="1" applyBorder="1" applyAlignment="1" applyProtection="1">
      <alignment horizontal="center" vertical="center"/>
      <protection locked="0"/>
    </xf>
    <xf numFmtId="0" fontId="192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3" fillId="33" borderId="43" xfId="53" applyNumberFormat="1" applyFont="1" applyFill="1" applyBorder="1" applyAlignment="1" applyProtection="1">
      <alignment horizontal="center" vertical="center"/>
      <protection locked="0"/>
    </xf>
    <xf numFmtId="38" fontId="193" fillId="33" borderId="29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87" fontId="157" fillId="33" borderId="28" xfId="60" applyNumberFormat="1" applyFont="1" applyFill="1" applyBorder="1" applyAlignment="1" applyProtection="1">
      <alignment horizontal="center"/>
      <protection/>
    </xf>
    <xf numFmtId="187" fontId="157" fillId="33" borderId="43" xfId="60" applyNumberFormat="1" applyFont="1" applyFill="1" applyBorder="1" applyAlignment="1" applyProtection="1">
      <alignment horizontal="center"/>
      <protection/>
    </xf>
    <xf numFmtId="187" fontId="157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5" fillId="32" borderId="45" xfId="57" applyFont="1" applyFill="1" applyBorder="1" applyAlignment="1" applyProtection="1" quotePrefix="1">
      <alignment horizontal="center"/>
      <protection/>
    </xf>
    <xf numFmtId="0" fontId="196" fillId="38" borderId="26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208" fontId="197" fillId="48" borderId="43" xfId="65" applyNumberFormat="1" applyFont="1" applyFill="1" applyBorder="1" applyAlignment="1" applyProtection="1">
      <alignment horizontal="left"/>
      <protection/>
    </xf>
    <xf numFmtId="208" fontId="197" fillId="48" borderId="29" xfId="65" applyNumberFormat="1" applyFont="1" applyFill="1" applyBorder="1" applyAlignment="1" applyProtection="1">
      <alignment horizontal="left"/>
      <protection/>
    </xf>
    <xf numFmtId="0" fontId="186" fillId="55" borderId="0" xfId="57" applyFont="1" applyFill="1" applyAlignment="1" applyProtection="1" quotePrefix="1">
      <alignment horizontal="center"/>
      <protection/>
    </xf>
    <xf numFmtId="211" fontId="186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8" fillId="33" borderId="47" xfId="65" applyNumberFormat="1" applyFont="1" applyFill="1" applyBorder="1" applyAlignment="1" applyProtection="1">
      <alignment horizontal="center"/>
      <protection/>
    </xf>
    <xf numFmtId="38" fontId="198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8" fillId="33" borderId="49" xfId="65" applyNumberFormat="1" applyFont="1" applyFill="1" applyBorder="1" applyAlignment="1" applyProtection="1">
      <alignment horizontal="center"/>
      <protection/>
    </xf>
    <xf numFmtId="38" fontId="198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1" fillId="33" borderId="0" xfId="60" applyNumberFormat="1" applyFont="1" applyFill="1" applyBorder="1" applyAlignment="1" applyProtection="1">
      <alignment horizontal="center"/>
      <protection/>
    </xf>
    <xf numFmtId="0" fontId="195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0" fillId="33" borderId="116" xfId="61" applyFont="1" applyFill="1" applyBorder="1" applyAlignment="1" applyProtection="1">
      <alignment horizontal="center"/>
      <protection/>
    </xf>
    <xf numFmtId="0" fontId="190" fillId="33" borderId="135" xfId="61" applyFont="1" applyFill="1" applyBorder="1" applyAlignment="1" applyProtection="1">
      <alignment horizontal="center"/>
      <protection/>
    </xf>
    <xf numFmtId="210" fontId="199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89" fillId="45" borderId="28" xfId="57" applyNumberFormat="1" applyFont="1" applyFill="1" applyBorder="1" applyAlignment="1" applyProtection="1">
      <alignment horizontal="center" vertical="center"/>
      <protection/>
    </xf>
    <xf numFmtId="188" fontId="189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  <xf numFmtId="0" fontId="200" fillId="36" borderId="43" xfId="53" applyFont="1" applyFill="1" applyBorder="1" applyAlignment="1" applyProtection="1">
      <alignment horizontal="center" vertical="center"/>
      <protection/>
    </xf>
    <xf numFmtId="0" fontId="200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5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71" sqref="L171:M17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695317</v>
      </c>
      <c r="J1" s="754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ПРБ МИНИСТЕРСТВО НА ЗДРАВЕОПАЗВАНЕТО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344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31.01.2023 г.</v>
      </c>
      <c r="G11" s="396">
        <f>+P5-1</f>
        <v>2022</v>
      </c>
      <c r="H11" s="15"/>
      <c r="I11" s="589" t="str">
        <f>+O8</f>
        <v>31.01.2023 г.</v>
      </c>
      <c r="J11" s="397">
        <f>+P5-1</f>
        <v>2022</v>
      </c>
      <c r="K11" s="16"/>
      <c r="L11" s="590" t="str">
        <f>+O8</f>
        <v>31.01.2023 г.</v>
      </c>
      <c r="M11" s="398">
        <f>+P5-1</f>
        <v>2022</v>
      </c>
      <c r="N11" s="16"/>
      <c r="O11" s="591" t="str">
        <f>+O8</f>
        <v>31.01.2023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2260551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2260551</v>
      </c>
      <c r="P16" s="384">
        <f t="shared" si="0"/>
        <v>29897039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102523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102523</v>
      </c>
      <c r="P18" s="378">
        <f t="shared" si="0"/>
        <v>1619614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539627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539627</v>
      </c>
      <c r="P19" s="412">
        <f t="shared" si="0"/>
        <v>6687828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38635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38635</v>
      </c>
      <c r="P20" s="412">
        <f t="shared" si="0"/>
        <v>366148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149116</v>
      </c>
      <c r="G22" s="231">
        <v>149406</v>
      </c>
      <c r="H22" s="15"/>
      <c r="I22" s="232"/>
      <c r="J22" s="231">
        <v>0</v>
      </c>
      <c r="K22" s="227"/>
      <c r="L22" s="232"/>
      <c r="M22" s="231">
        <v>0</v>
      </c>
      <c r="N22" s="227"/>
      <c r="O22" s="360">
        <f t="shared" si="0"/>
        <v>149116</v>
      </c>
      <c r="P22" s="412">
        <f t="shared" si="0"/>
        <v>149406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535</v>
      </c>
      <c r="G24" s="233">
        <v>56933</v>
      </c>
      <c r="H24" s="15"/>
      <c r="I24" s="234"/>
      <c r="J24" s="233">
        <v>4174</v>
      </c>
      <c r="K24" s="227"/>
      <c r="L24" s="234"/>
      <c r="M24" s="233"/>
      <c r="N24" s="227"/>
      <c r="O24" s="361">
        <f t="shared" si="0"/>
        <v>535</v>
      </c>
      <c r="P24" s="384">
        <f t="shared" si="0"/>
        <v>61107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3090987</v>
      </c>
      <c r="G25" s="235">
        <f>+ROUND(+SUM(G15,G16,G18,G19,G20,G21,G22,G23,G24),0)</f>
        <v>38753503</v>
      </c>
      <c r="H25" s="15"/>
      <c r="I25" s="236">
        <f>+ROUND(+SUM(I15,I16,I18,I19,I20,I21,I22,I23,I24),0)</f>
        <v>0</v>
      </c>
      <c r="J25" s="235">
        <f>+ROUND(+SUM(J15,J16,J18,J19,J20,J21,J22,J23,J24),0)</f>
        <v>27639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3090987</v>
      </c>
      <c r="P25" s="363">
        <f>+ROUND(+SUM(P15,P16,P18,P19,P20,P21,P22,P23,P24),0)</f>
        <v>38781142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88524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88524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-1101735</v>
      </c>
      <c r="G37" s="247">
        <v>-6807263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-1101735</v>
      </c>
      <c r="P37" s="363">
        <f t="shared" si="2"/>
        <v>-6807263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-1087784</v>
      </c>
      <c r="G38" s="249">
        <v>-6425293</v>
      </c>
      <c r="H38" s="15"/>
      <c r="I38" s="250"/>
      <c r="J38" s="249"/>
      <c r="K38" s="227"/>
      <c r="L38" s="250"/>
      <c r="M38" s="249"/>
      <c r="N38" s="227"/>
      <c r="O38" s="375">
        <f t="shared" si="2"/>
        <v>-1087784</v>
      </c>
      <c r="P38" s="413">
        <f t="shared" si="2"/>
        <v>-6425293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-4588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-4588</v>
      </c>
      <c r="P39" s="414">
        <f t="shared" si="2"/>
        <v>-47650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6448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6448</v>
      </c>
      <c r="P42" s="363">
        <f>+ROUND(+G42+J42+M42,0)</f>
        <v>146303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10112</v>
      </c>
      <c r="G44" s="229">
        <v>126339</v>
      </c>
      <c r="H44" s="15"/>
      <c r="I44" s="230">
        <v>523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10635</v>
      </c>
      <c r="P44" s="378">
        <f t="shared" si="3"/>
        <v>129791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9770</v>
      </c>
      <c r="G45" s="231">
        <v>94779</v>
      </c>
      <c r="H45" s="15"/>
      <c r="I45" s="232"/>
      <c r="J45" s="231"/>
      <c r="K45" s="227"/>
      <c r="L45" s="232"/>
      <c r="M45" s="231"/>
      <c r="N45" s="227"/>
      <c r="O45" s="360">
        <f t="shared" si="3"/>
        <v>9770</v>
      </c>
      <c r="P45" s="412">
        <f t="shared" si="3"/>
        <v>94779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4662</v>
      </c>
      <c r="G47" s="233">
        <v>53235</v>
      </c>
      <c r="H47" s="15"/>
      <c r="I47" s="234"/>
      <c r="J47" s="233"/>
      <c r="K47" s="227"/>
      <c r="L47" s="234"/>
      <c r="M47" s="233"/>
      <c r="N47" s="227"/>
      <c r="O47" s="361">
        <f t="shared" si="3"/>
        <v>4662</v>
      </c>
      <c r="P47" s="384">
        <f t="shared" si="3"/>
        <v>53235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24544</v>
      </c>
      <c r="G48" s="235">
        <f>+ROUND(+SUM(G44:G47),0)</f>
        <v>274353</v>
      </c>
      <c r="H48" s="15"/>
      <c r="I48" s="236">
        <f>+ROUND(+SUM(I44:I47),0)</f>
        <v>523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25067</v>
      </c>
      <c r="P48" s="363">
        <f>+ROUND(+SUM(P44:P47),0)</f>
        <v>277805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2020244</v>
      </c>
      <c r="G50" s="257">
        <f>+ROUND(G25+G30+G37+G42+G48,0)</f>
        <v>32455420</v>
      </c>
      <c r="H50" s="15"/>
      <c r="I50" s="258">
        <f>+ROUND(I25+I30+I37+I42+I48,0)</f>
        <v>523</v>
      </c>
      <c r="J50" s="257">
        <f>+ROUND(J25+J30+J37+J42+J48,0)</f>
        <v>31091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2020767</v>
      </c>
      <c r="P50" s="380">
        <f>+ROUND(P25+P30+P37+P42+P48,0)</f>
        <v>32486511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5094841</v>
      </c>
      <c r="G53" s="259">
        <v>379728892</v>
      </c>
      <c r="H53" s="15"/>
      <c r="I53" s="260">
        <v>320687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5415528</v>
      </c>
      <c r="P53" s="359">
        <f t="shared" si="4"/>
        <v>382033128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46548</v>
      </c>
      <c r="G54" s="233">
        <v>2090331</v>
      </c>
      <c r="H54" s="15"/>
      <c r="I54" s="234">
        <v>0</v>
      </c>
      <c r="J54" s="233">
        <v>105</v>
      </c>
      <c r="K54" s="227"/>
      <c r="L54" s="234"/>
      <c r="M54" s="233"/>
      <c r="N54" s="227"/>
      <c r="O54" s="361">
        <f t="shared" si="4"/>
        <v>46548</v>
      </c>
      <c r="P54" s="384">
        <f t="shared" si="4"/>
        <v>2090436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64221</v>
      </c>
      <c r="G55" s="233">
        <v>2633528</v>
      </c>
      <c r="H55" s="15"/>
      <c r="I55" s="234">
        <v>0</v>
      </c>
      <c r="J55" s="233">
        <v>160</v>
      </c>
      <c r="K55" s="227"/>
      <c r="L55" s="234"/>
      <c r="M55" s="233"/>
      <c r="N55" s="227"/>
      <c r="O55" s="361">
        <f t="shared" si="4"/>
        <v>64221</v>
      </c>
      <c r="P55" s="384">
        <f t="shared" si="4"/>
        <v>2633688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27991620</v>
      </c>
      <c r="G56" s="233">
        <v>364619004</v>
      </c>
      <c r="H56" s="15"/>
      <c r="I56" s="234">
        <v>126561</v>
      </c>
      <c r="J56" s="233">
        <v>1020941</v>
      </c>
      <c r="K56" s="227"/>
      <c r="L56" s="234"/>
      <c r="M56" s="233"/>
      <c r="N56" s="227"/>
      <c r="O56" s="361">
        <f t="shared" si="4"/>
        <v>28118181</v>
      </c>
      <c r="P56" s="384">
        <f t="shared" si="4"/>
        <v>365639945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5394702</v>
      </c>
      <c r="G57" s="233">
        <v>67990314</v>
      </c>
      <c r="H57" s="15"/>
      <c r="I57" s="234">
        <v>19640</v>
      </c>
      <c r="J57" s="233">
        <v>110823</v>
      </c>
      <c r="K57" s="227"/>
      <c r="L57" s="234"/>
      <c r="M57" s="233"/>
      <c r="N57" s="227"/>
      <c r="O57" s="361">
        <f t="shared" si="4"/>
        <v>5414342</v>
      </c>
      <c r="P57" s="384">
        <f t="shared" si="4"/>
        <v>68101137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38591932</v>
      </c>
      <c r="G58" s="261">
        <f>+ROUND(+SUM(G53:G57),0)</f>
        <v>817062069</v>
      </c>
      <c r="H58" s="15"/>
      <c r="I58" s="262">
        <f>+ROUND(+SUM(I53:I57),0)</f>
        <v>466888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39058820</v>
      </c>
      <c r="P58" s="382">
        <f>+ROUND(+SUM(P53:P57),0)</f>
        <v>820498334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14640</v>
      </c>
      <c r="G61" s="233">
        <v>8485401</v>
      </c>
      <c r="H61" s="15"/>
      <c r="I61" s="234">
        <v>102043</v>
      </c>
      <c r="J61" s="233">
        <v>10023198</v>
      </c>
      <c r="K61" s="227"/>
      <c r="L61" s="234"/>
      <c r="M61" s="233"/>
      <c r="N61" s="227"/>
      <c r="O61" s="361">
        <f t="shared" si="5"/>
        <v>116683</v>
      </c>
      <c r="P61" s="384">
        <f t="shared" si="5"/>
        <v>18508599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4528820</v>
      </c>
      <c r="H62" s="15"/>
      <c r="I62" s="234"/>
      <c r="J62" s="233">
        <v>136800</v>
      </c>
      <c r="K62" s="227"/>
      <c r="L62" s="234"/>
      <c r="M62" s="233"/>
      <c r="N62" s="227"/>
      <c r="O62" s="361">
        <f t="shared" si="5"/>
        <v>0</v>
      </c>
      <c r="P62" s="384">
        <f t="shared" si="5"/>
        <v>4665620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14640</v>
      </c>
      <c r="G65" s="261">
        <f>+ROUND(+SUM(G60:G63),0)</f>
        <v>13014221</v>
      </c>
      <c r="H65" s="15"/>
      <c r="I65" s="262">
        <f>+ROUND(+SUM(I60:I63),0)</f>
        <v>102043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116683</v>
      </c>
      <c r="P65" s="382">
        <f>+ROUND(+SUM(P60:P63),0)</f>
        <v>23174219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33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33</v>
      </c>
      <c r="P68" s="384">
        <f>+ROUND(+G68+J68+M68,0)</f>
        <v>4427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33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33</v>
      </c>
      <c r="P69" s="382">
        <f>+ROUND(+SUM(P67:P68),0)</f>
        <v>4427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608012</v>
      </c>
      <c r="G71" s="259">
        <v>19256118</v>
      </c>
      <c r="H71" s="15"/>
      <c r="I71" s="260"/>
      <c r="J71" s="259">
        <v>1780984</v>
      </c>
      <c r="K71" s="227"/>
      <c r="L71" s="260"/>
      <c r="M71" s="259"/>
      <c r="N71" s="227"/>
      <c r="O71" s="366">
        <f>+ROUND(+F71+I71+L71,0)</f>
        <v>608012</v>
      </c>
      <c r="P71" s="359">
        <f>+ROUND(+G71+J71+M71,0)</f>
        <v>21037102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608012</v>
      </c>
      <c r="G73" s="261">
        <f>+ROUND(+SUM(G71:G72),0)</f>
        <v>19256118</v>
      </c>
      <c r="H73" s="15"/>
      <c r="I73" s="262">
        <f>+ROUND(+SUM(I71:I72),0)</f>
        <v>0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608012</v>
      </c>
      <c r="P73" s="382">
        <f>+ROUND(+SUM(P71:P72),0)</f>
        <v>21037102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7065406</v>
      </c>
      <c r="G75" s="259">
        <v>223956144</v>
      </c>
      <c r="H75" s="15"/>
      <c r="I75" s="260"/>
      <c r="J75" s="259">
        <v>-88274</v>
      </c>
      <c r="K75" s="227"/>
      <c r="L75" s="260"/>
      <c r="M75" s="259"/>
      <c r="N75" s="227"/>
      <c r="O75" s="366">
        <f>+ROUND(+F75+I75+L75,0)</f>
        <v>7065406</v>
      </c>
      <c r="P75" s="359">
        <f>+ROUND(+G75+J75+M75,0)</f>
        <v>223867870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-423394</v>
      </c>
      <c r="G76" s="233">
        <v>124126969</v>
      </c>
      <c r="H76" s="15"/>
      <c r="I76" s="234"/>
      <c r="J76" s="233">
        <v>1867192</v>
      </c>
      <c r="K76" s="227"/>
      <c r="L76" s="234"/>
      <c r="M76" s="233"/>
      <c r="N76" s="227"/>
      <c r="O76" s="361">
        <f>+ROUND(+F76+I76+L76,0)</f>
        <v>-423394</v>
      </c>
      <c r="P76" s="384">
        <f>+ROUND(+G76+J76+M76,0)</f>
        <v>125994161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6642012</v>
      </c>
      <c r="G77" s="261">
        <f>+ROUND(+SUM(G75:G76),0)</f>
        <v>348083113</v>
      </c>
      <c r="H77" s="15"/>
      <c r="I77" s="262">
        <f>+ROUND(+SUM(I75:I76),0)</f>
        <v>0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6642012</v>
      </c>
      <c r="P77" s="382">
        <f>+ROUND(+SUM(P75:P76),0)</f>
        <v>349862031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45856629</v>
      </c>
      <c r="G79" s="272">
        <f>+ROUND(G58+G65+G69+G73+G77,0)</f>
        <v>1197419948</v>
      </c>
      <c r="H79" s="15"/>
      <c r="I79" s="269">
        <f>+ROUND(I58+I65+I69+I73+I77,0)</f>
        <v>568931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46425560</v>
      </c>
      <c r="P79" s="392">
        <f>+ROUND(P58+P65+P69+P73+P77,0)</f>
        <v>1214576113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44650269</v>
      </c>
      <c r="G81" s="229">
        <v>1213483842</v>
      </c>
      <c r="H81" s="15"/>
      <c r="I81" s="230">
        <v>438771</v>
      </c>
      <c r="J81" s="229">
        <v>67164003</v>
      </c>
      <c r="K81" s="227"/>
      <c r="L81" s="230"/>
      <c r="M81" s="229"/>
      <c r="N81" s="227"/>
      <c r="O81" s="365">
        <f>+ROUND(+F81+I81+L81,0)</f>
        <v>45089040</v>
      </c>
      <c r="P81" s="378">
        <f>+ROUND(+G81+J81+M81,0)</f>
        <v>1280647845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>
        <v>-48048873</v>
      </c>
      <c r="K82" s="227"/>
      <c r="L82" s="234"/>
      <c r="M82" s="233"/>
      <c r="N82" s="227"/>
      <c r="O82" s="361">
        <f>+ROUND(+F82+I82+L82,0)</f>
        <v>0</v>
      </c>
      <c r="P82" s="384">
        <f>+ROUND(+G82+J82+M82,0)</f>
        <v>-48048873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44650269</v>
      </c>
      <c r="G83" s="270">
        <f>+ROUND(G81+G82,0)</f>
        <v>1213483842</v>
      </c>
      <c r="H83" s="15"/>
      <c r="I83" s="271">
        <f>+ROUND(I81+I82,0)</f>
        <v>438771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45089040</v>
      </c>
      <c r="P83" s="387">
        <f>+ROUND(P81+P82,0)</f>
        <v>1232598972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813884</v>
      </c>
      <c r="G85" s="291">
        <f>+ROUND(G50,0)-ROUND(G79,0)+ROUND(G83,0)</f>
        <v>48519314</v>
      </c>
      <c r="H85" s="15"/>
      <c r="I85" s="292">
        <f>+ROUND(I50,0)-ROUND(I79,0)+ROUND(I83,0)</f>
        <v>-129637</v>
      </c>
      <c r="J85" s="291">
        <f>+ROUND(J50,0)-ROUND(J79,0)+ROUND(J83,0)</f>
        <v>1990056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684247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-813884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129637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-684247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-64141650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-63641650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-35000000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49074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49074</v>
      </c>
      <c r="P94" s="384">
        <f t="shared" si="6"/>
        <v>588889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49074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49074</v>
      </c>
      <c r="P97" s="363">
        <f>+ROUND(+SUM(P93:P96),0)</f>
        <v>-34411111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21915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21915</v>
      </c>
      <c r="P100" s="384">
        <f>+ROUND(+G100+J100+M100,0)</f>
        <v>-66082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21915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21915</v>
      </c>
      <c r="P101" s="363">
        <f>+ROUND(+SUM(P99:P100),0)</f>
        <v>-66082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70989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70989</v>
      </c>
      <c r="P103" s="380">
        <f>+ROUND(P91+P97+P101,0)</f>
        <v>-98118843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-28441</v>
      </c>
      <c r="G118" s="259">
        <v>345019</v>
      </c>
      <c r="H118" s="15"/>
      <c r="I118" s="260"/>
      <c r="J118" s="259"/>
      <c r="K118" s="227"/>
      <c r="L118" s="260">
        <v>-161623</v>
      </c>
      <c r="M118" s="259">
        <v>-39672013</v>
      </c>
      <c r="N118" s="227"/>
      <c r="O118" s="366">
        <f>+ROUND(+F118+I118+L118,0)</f>
        <v>-190064</v>
      </c>
      <c r="P118" s="359">
        <f>+ROUND(+G118+J118+M118,0)</f>
        <v>-39326994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/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-26165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-161623</v>
      </c>
      <c r="M120" s="261">
        <f>+ROUND(+SUM(M118:M119),0)</f>
        <v>-39672013</v>
      </c>
      <c r="N120" s="227"/>
      <c r="O120" s="381">
        <f>+ROUND(+SUM(O118:O119),0)</f>
        <v>-187788</v>
      </c>
      <c r="P120" s="382">
        <f>+ROUND(+SUM(P118:P119),0)</f>
        <v>-40107490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-26165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-161623</v>
      </c>
      <c r="M122" s="272">
        <f>+ROUND(M108+M112+M116+M120,0)</f>
        <v>-39672013</v>
      </c>
      <c r="N122" s="227"/>
      <c r="O122" s="385">
        <f>+ROUND(O108+O112+O116+O120,0)</f>
        <v>-187788</v>
      </c>
      <c r="P122" s="392">
        <f>+ROUND(P108+P112+P116+P120,0)</f>
        <v>-40107490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-129750</v>
      </c>
      <c r="G125" s="233">
        <v>50028407</v>
      </c>
      <c r="H125" s="15"/>
      <c r="I125" s="234">
        <v>129637</v>
      </c>
      <c r="J125" s="233">
        <v>-1980564</v>
      </c>
      <c r="K125" s="227"/>
      <c r="L125" s="234">
        <v>612</v>
      </c>
      <c r="M125" s="233">
        <v>573</v>
      </c>
      <c r="N125" s="227"/>
      <c r="O125" s="361">
        <f t="shared" si="7"/>
        <v>499</v>
      </c>
      <c r="P125" s="384">
        <f t="shared" si="7"/>
        <v>48048416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-677114</v>
      </c>
      <c r="G126" s="233">
        <v>9492</v>
      </c>
      <c r="H126" s="15"/>
      <c r="I126" s="234"/>
      <c r="J126" s="233">
        <v>-9492</v>
      </c>
      <c r="K126" s="227"/>
      <c r="L126" s="234"/>
      <c r="M126" s="233"/>
      <c r="N126" s="227"/>
      <c r="O126" s="361">
        <f t="shared" si="7"/>
        <v>-677114</v>
      </c>
      <c r="P126" s="384">
        <f t="shared" si="7"/>
        <v>0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-806864</v>
      </c>
      <c r="G129" s="270">
        <f>+ROUND(+SUM(G124,G125,G126,G128),0)</f>
        <v>50037899</v>
      </c>
      <c r="H129" s="15"/>
      <c r="I129" s="271">
        <f>+ROUND(+SUM(I124,I125,I126,I128),0)</f>
        <v>129637</v>
      </c>
      <c r="J129" s="270">
        <f>+ROUND(+SUM(J124,J125,J126,J128),0)</f>
        <v>-1990056</v>
      </c>
      <c r="K129" s="227"/>
      <c r="L129" s="271">
        <f>+ROUND(+SUM(L124,L125,L126,L128),0)</f>
        <v>612</v>
      </c>
      <c r="M129" s="270">
        <f>+ROUND(+SUM(M124,M125,M126,M128),0)</f>
        <v>573</v>
      </c>
      <c r="N129" s="227"/>
      <c r="O129" s="386">
        <f>+ROUND(+SUM(O124,O125,O126,O128),0)</f>
        <v>-676615</v>
      </c>
      <c r="P129" s="387">
        <f>+ROUND(+SUM(P124,P125,P126,P128),0)</f>
        <v>48048416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103043244</v>
      </c>
      <c r="M131" s="229">
        <v>142714426</v>
      </c>
      <c r="N131" s="227"/>
      <c r="O131" s="365">
        <f aca="true" t="shared" si="8" ref="O131:P133">+ROUND(+F131+I131+L131,0)</f>
        <v>105534586</v>
      </c>
      <c r="P131" s="378">
        <f t="shared" si="8"/>
        <v>145173229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-6102</v>
      </c>
      <c r="G132" s="233">
        <v>29646</v>
      </c>
      <c r="H132" s="15"/>
      <c r="I132" s="234"/>
      <c r="J132" s="233"/>
      <c r="K132" s="227"/>
      <c r="L132" s="234">
        <v>-39</v>
      </c>
      <c r="M132" s="233">
        <v>258</v>
      </c>
      <c r="N132" s="227"/>
      <c r="O132" s="361">
        <f t="shared" si="8"/>
        <v>-6141</v>
      </c>
      <c r="P132" s="384">
        <f t="shared" si="8"/>
        <v>29904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2537084</v>
      </c>
      <c r="G133" s="233">
        <v>2491342</v>
      </c>
      <c r="H133" s="15"/>
      <c r="I133" s="234"/>
      <c r="J133" s="233"/>
      <c r="K133" s="227"/>
      <c r="L133" s="234">
        <v>102882194</v>
      </c>
      <c r="M133" s="233">
        <v>103043244</v>
      </c>
      <c r="N133" s="227"/>
      <c r="O133" s="361">
        <f t="shared" si="8"/>
        <v>105419278</v>
      </c>
      <c r="P133" s="384">
        <f t="shared" si="8"/>
        <v>105534586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51844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-161011</v>
      </c>
      <c r="M134" s="275">
        <f>+ROUND(+M133-M131-M132,0)</f>
        <v>-39671440</v>
      </c>
      <c r="N134" s="227"/>
      <c r="O134" s="394">
        <f>+ROUND(+O133-O131-O132,0)</f>
        <v>-109167</v>
      </c>
      <c r="P134" s="395">
        <f>+ROUND(+P133-P131-P132,0)</f>
        <v>-39668547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51844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-161011</v>
      </c>
      <c r="M142" s="537">
        <f>+M134+M140</f>
        <v>-39671440</v>
      </c>
      <c r="N142" s="227"/>
      <c r="O142" s="394">
        <f>+O134+O140</f>
        <v>-109167</v>
      </c>
      <c r="P142" s="395">
        <f>+P134+P140</f>
        <v>-39668547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6042023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456</v>
      </c>
      <c r="G148" s="792"/>
      <c r="H148" s="792"/>
      <c r="I148" s="793"/>
      <c r="J148" s="346"/>
      <c r="K148" s="16"/>
      <c r="L148" s="346" t="s">
        <v>234</v>
      </c>
      <c r="M148" s="791" t="s">
        <v>457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2537084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102882194</v>
      </c>
      <c r="M160" s="566">
        <f>+M133+M139</f>
        <v>103043244</v>
      </c>
      <c r="N160" s="227"/>
      <c r="O160" s="569">
        <f>+ROUND(+F160+I160+L160,0)</f>
        <v>105419278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2537084</v>
      </c>
      <c r="G161" s="563">
        <v>2491342</v>
      </c>
      <c r="I161" s="562"/>
      <c r="J161" s="563"/>
      <c r="K161" s="227"/>
      <c r="L161" s="562">
        <v>102882194</v>
      </c>
      <c r="M161" s="563">
        <v>103043244</v>
      </c>
      <c r="N161" s="227"/>
      <c r="O161" s="571">
        <f>+ROUND(+F161+I161+L161,0)</f>
        <v>105419278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31.01.2023 г.</v>
      </c>
      <c r="G162" s="556">
        <f>+G11</f>
        <v>2022</v>
      </c>
      <c r="I162" s="594" t="str">
        <f>+I11</f>
        <v>31.01.2023 г.</v>
      </c>
      <c r="J162" s="558">
        <f>+J11</f>
        <v>2022</v>
      </c>
      <c r="K162" s="11"/>
      <c r="L162" s="595" t="str">
        <f>+L11</f>
        <v>31.01.2023 г.</v>
      </c>
      <c r="M162" s="561">
        <f>+M11</f>
        <v>2022</v>
      </c>
      <c r="N162" s="11"/>
      <c r="O162" s="596" t="str">
        <f>+O11</f>
        <v>31.01.2023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ПРБ МИНИСТЕРСТВО НА ЗДРАВЕОПАЗВАНЕТО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695317</v>
      </c>
      <c r="J1" s="808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ПРБ МИНИСТЕРСТВО НА ЗДРАВЕОПАЗВАНЕТО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31.01.2023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31.01.2023 г.</v>
      </c>
      <c r="G11" s="396">
        <f>+'Cash-Flow-2023-Leva'!G11</f>
        <v>2022</v>
      </c>
      <c r="H11" s="5"/>
      <c r="I11" s="589" t="str">
        <f>+O8</f>
        <v>31.01.2023 г.</v>
      </c>
      <c r="J11" s="397">
        <f>+'Cash-Flow-2023-Leva'!J11</f>
        <v>2022</v>
      </c>
      <c r="K11" s="5"/>
      <c r="L11" s="590" t="str">
        <f>+O8</f>
        <v>31.01.2023 г.</v>
      </c>
      <c r="M11" s="398">
        <f>+'Cash-Flow-2023-Leva'!M11</f>
        <v>2022</v>
      </c>
      <c r="N11" s="462"/>
      <c r="O11" s="591" t="str">
        <f>+O8</f>
        <v>31.01.2023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2260.551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2260.551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102.523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102.523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539.627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539.627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38.635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38.635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149.116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149.116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0.535</v>
      </c>
      <c r="G24" s="267">
        <f>+'Cash-Flow-2023-Leva'!G24/1000</f>
        <v>56.933</v>
      </c>
      <c r="H24" s="277"/>
      <c r="I24" s="268">
        <f>+'Cash-Flow-2023-Leva'!I24/1000</f>
        <v>0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0.535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3090.987</v>
      </c>
      <c r="G25" s="235">
        <f>+SUM(G15,G16,G18,G19,G20,G21,G22,G23,G24)</f>
        <v>38753.503000000004</v>
      </c>
      <c r="H25" s="277"/>
      <c r="I25" s="236">
        <f>+SUM(I15,I16,I18,I19,I20,I21,I22,I23,I24)</f>
        <v>0</v>
      </c>
      <c r="J25" s="235">
        <f>+SUM(J15,J16,J18,J19,J20,J21,J22,J23,J24)</f>
        <v>27.639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3090.987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-1101.735</v>
      </c>
      <c r="G37" s="235">
        <f>+'Cash-Flow-2023-Leva'!G37/1000</f>
        <v>-6807.263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-1101.735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-1087.784</v>
      </c>
      <c r="G38" s="280">
        <f>+'Cash-Flow-2023-Leva'!G38/1000</f>
        <v>-6425.293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-1087.784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-4.588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-4.588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6.448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6.448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10.112</v>
      </c>
      <c r="G44" s="255">
        <f>+'Cash-Flow-2023-Leva'!G44/1000</f>
        <v>126.339</v>
      </c>
      <c r="H44" s="277"/>
      <c r="I44" s="256">
        <f>+'Cash-Flow-2023-Leva'!I44/1000</f>
        <v>0.523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10.635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9.77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9.77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4.662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4.662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24.543999999999997</v>
      </c>
      <c r="G48" s="235">
        <f>+SUM(G44:G47)</f>
        <v>274.353</v>
      </c>
      <c r="H48" s="277"/>
      <c r="I48" s="236">
        <f>+SUM(I44:I47)</f>
        <v>0.523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25.067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2020.2440000000004</v>
      </c>
      <c r="G50" s="257">
        <f>+G25+G30+G37+G42+G48</f>
        <v>32455.420000000002</v>
      </c>
      <c r="H50" s="277"/>
      <c r="I50" s="258">
        <f>+I25+I30+I37+I42+I48</f>
        <v>0.523</v>
      </c>
      <c r="J50" s="257">
        <f>+J25+J30+J37+J42+J48</f>
        <v>31.091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2020.7670000000003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5094.841</v>
      </c>
      <c r="G53" s="228">
        <f>+'Cash-Flow-2023-Leva'!G53/1000</f>
        <v>379728.892</v>
      </c>
      <c r="H53" s="277"/>
      <c r="I53" s="238">
        <f>+'Cash-Flow-2023-Leva'!I53/1000</f>
        <v>320.687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5415.528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46.548</v>
      </c>
      <c r="G54" s="267">
        <f>+'Cash-Flow-2023-Leva'!G54/1000</f>
        <v>2090.331</v>
      </c>
      <c r="H54" s="277"/>
      <c r="I54" s="268">
        <f>+'Cash-Flow-2023-Leva'!I54/1000</f>
        <v>0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46.548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64.221</v>
      </c>
      <c r="G55" s="267">
        <f>+'Cash-Flow-2023-Leva'!G55/1000</f>
        <v>2633.528</v>
      </c>
      <c r="H55" s="277"/>
      <c r="I55" s="268">
        <f>+'Cash-Flow-2023-Leva'!I55/1000</f>
        <v>0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64.221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27991.62</v>
      </c>
      <c r="G56" s="267">
        <f>+'Cash-Flow-2023-Leva'!G56/1000</f>
        <v>364619.004</v>
      </c>
      <c r="H56" s="277"/>
      <c r="I56" s="268">
        <f>+'Cash-Flow-2023-Leva'!I56/1000</f>
        <v>126.561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28118.181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5394.702</v>
      </c>
      <c r="G57" s="267">
        <f>+'Cash-Flow-2023-Leva'!G57/1000</f>
        <v>67990.314</v>
      </c>
      <c r="H57" s="277"/>
      <c r="I57" s="268">
        <f>+'Cash-Flow-2023-Leva'!I57/1000</f>
        <v>19.64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5414.342000000001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38591.93199999999</v>
      </c>
      <c r="G58" s="261">
        <f>+SUM(G53:G57)</f>
        <v>817062.069</v>
      </c>
      <c r="H58" s="277"/>
      <c r="I58" s="262">
        <f>+SUM(I53:I57)</f>
        <v>466.88800000000003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39058.82000000001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14.64</v>
      </c>
      <c r="G61" s="267">
        <f>+'Cash-Flow-2023-Leva'!G61/1000</f>
        <v>8485.401</v>
      </c>
      <c r="H61" s="277"/>
      <c r="I61" s="268">
        <f>+'Cash-Flow-2023-Leva'!I61/1000</f>
        <v>102.043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116.683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4528.82</v>
      </c>
      <c r="H62" s="277"/>
      <c r="I62" s="268">
        <f>+'Cash-Flow-2023-Leva'!I62/1000</f>
        <v>0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14.64</v>
      </c>
      <c r="G65" s="261">
        <f>+SUM(G60:G63)</f>
        <v>13014.221</v>
      </c>
      <c r="H65" s="277"/>
      <c r="I65" s="262">
        <f>+SUM(I60:I63)</f>
        <v>102.043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116.683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0.033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0.033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0.033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0.033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608.012</v>
      </c>
      <c r="G71" s="228">
        <f>+'Cash-Flow-2023-Leva'!G71/1000</f>
        <v>19256.118</v>
      </c>
      <c r="H71" s="277"/>
      <c r="I71" s="238">
        <f>+'Cash-Flow-2023-Leva'!I71/1000</f>
        <v>0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608.012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608.012</v>
      </c>
      <c r="G73" s="261">
        <f>+SUM(G71:G72)</f>
        <v>19256.118</v>
      </c>
      <c r="H73" s="277"/>
      <c r="I73" s="262">
        <f>+SUM(I71:I72)</f>
        <v>0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608.012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7065.406</v>
      </c>
      <c r="G75" s="228">
        <f>+'Cash-Flow-2023-Leva'!G75/1000</f>
        <v>223956.144</v>
      </c>
      <c r="H75" s="277"/>
      <c r="I75" s="238">
        <f>+'Cash-Flow-2023-Leva'!I75/1000</f>
        <v>0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7065.406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-423.394</v>
      </c>
      <c r="G76" s="267">
        <f>+'Cash-Flow-2023-Leva'!G76/1000</f>
        <v>124126.969</v>
      </c>
      <c r="H76" s="277"/>
      <c r="I76" s="268">
        <f>+'Cash-Flow-2023-Leva'!I76/1000</f>
        <v>0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-423.394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6642.012</v>
      </c>
      <c r="G77" s="261">
        <f>+SUM(G75:G76)</f>
        <v>348083.113</v>
      </c>
      <c r="H77" s="277"/>
      <c r="I77" s="262">
        <f>+SUM(I75:I76)</f>
        <v>0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6642.012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45856.629</v>
      </c>
      <c r="G79" s="272">
        <f>+G58+G65+G69+G73+G77</f>
        <v>1197419.948</v>
      </c>
      <c r="H79" s="277"/>
      <c r="I79" s="269">
        <f>+I58+I65+I69+I73+I77</f>
        <v>568.931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46425.56000000001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44650.269</v>
      </c>
      <c r="G81" s="255">
        <f>+'Cash-Flow-2023-Leva'!G81/1000</f>
        <v>1213483.842</v>
      </c>
      <c r="H81" s="277"/>
      <c r="I81" s="256">
        <f>+'Cash-Flow-2023-Leva'!I81/1000</f>
        <v>438.771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45089.04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44650.269</v>
      </c>
      <c r="G83" s="270">
        <f>+G81+G82</f>
        <v>1213483.842</v>
      </c>
      <c r="H83" s="277"/>
      <c r="I83" s="271">
        <f>+I81+I82</f>
        <v>438.771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45089.04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813.8839999999982</v>
      </c>
      <c r="G85" s="291">
        <f>+G50-G79+G83</f>
        <v>48519.31399999978</v>
      </c>
      <c r="H85" s="277"/>
      <c r="I85" s="292">
        <f>+I50-I79+I83</f>
        <v>-129.637</v>
      </c>
      <c r="J85" s="291">
        <f>+J50-J79+J83</f>
        <v>1990.0559999999969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684.2469999999885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-813.8839999999998</v>
      </c>
      <c r="G86" s="293">
        <f>+G103+G122+G129-G134</f>
        <v>-48519.314</v>
      </c>
      <c r="H86" s="277"/>
      <c r="I86" s="294">
        <f>+I103+I122+I129-I134</f>
        <v>129.637</v>
      </c>
      <c r="J86" s="293">
        <f>+J103+J122+J129-J134</f>
        <v>-1990.056</v>
      </c>
      <c r="K86" s="277"/>
      <c r="L86" s="294">
        <f>+L103+L122+L129-L134</f>
        <v>2.9274360713316128E-12</v>
      </c>
      <c r="M86" s="293">
        <f>+M103+M122+M129-M134</f>
        <v>0</v>
      </c>
      <c r="N86" s="463"/>
      <c r="O86" s="390">
        <f>+O103+O122+O129-O134</f>
        <v>-684.2469999999954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49.074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49.074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49.074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49.074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21.915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21.915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21.915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21.915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70.989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70.989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-28.441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-161.623</v>
      </c>
      <c r="M118" s="228">
        <f>+'Cash-Flow-2023-Leva'!M118/1000</f>
        <v>-39672.013</v>
      </c>
      <c r="N118" s="463"/>
      <c r="O118" s="366">
        <f>+F118+I118+L118</f>
        <v>-190.064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-26.165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-161.623</v>
      </c>
      <c r="M120" s="261">
        <f>+SUM(M118:M119)</f>
        <v>-39672.013</v>
      </c>
      <c r="N120" s="463"/>
      <c r="O120" s="381">
        <f>+SUM(O118:O119)</f>
        <v>-187.78799999999998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-26.165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-161.623</v>
      </c>
      <c r="M122" s="272">
        <f>+M108+M112+M116+M120</f>
        <v>-39672.013</v>
      </c>
      <c r="N122" s="463"/>
      <c r="O122" s="385">
        <f>+O108+O112+O116+O120</f>
        <v>-187.78799999999998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-129.75</v>
      </c>
      <c r="G125" s="267">
        <f>+'Cash-Flow-2023-Leva'!G125/1000</f>
        <v>50028.407</v>
      </c>
      <c r="H125" s="277"/>
      <c r="I125" s="268">
        <f>+'Cash-Flow-2023-Leva'!I125/1000</f>
        <v>129.637</v>
      </c>
      <c r="J125" s="267">
        <f>+'Cash-Flow-2023-Leva'!J125/1000</f>
        <v>-1980.564</v>
      </c>
      <c r="K125" s="277"/>
      <c r="L125" s="268">
        <f>+'Cash-Flow-2023-Leva'!L125/1000</f>
        <v>0.612</v>
      </c>
      <c r="M125" s="267">
        <f>+'Cash-Flow-2023-Leva'!M125/1000</f>
        <v>0.573</v>
      </c>
      <c r="N125" s="463"/>
      <c r="O125" s="361">
        <f t="shared" si="8"/>
        <v>0.49900000000000044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-677.114</v>
      </c>
      <c r="G126" s="267">
        <f>+'Cash-Flow-2023-Leva'!G126/1000</f>
        <v>9.492</v>
      </c>
      <c r="H126" s="277"/>
      <c r="I126" s="268">
        <f>+'Cash-Flow-2023-Leva'!I126/1000</f>
        <v>0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-677.114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-806.864</v>
      </c>
      <c r="G129" s="270">
        <f>+SUM(G124,G125,G126,G128)</f>
        <v>50037.899</v>
      </c>
      <c r="H129" s="277"/>
      <c r="I129" s="271">
        <f>+SUM(I124,I125,I126,I128)</f>
        <v>129.637</v>
      </c>
      <c r="J129" s="270">
        <f>+SUM(J124,J125,J126,J128)</f>
        <v>-1990.056</v>
      </c>
      <c r="K129" s="277"/>
      <c r="L129" s="271">
        <f>+SUM(L124,L125,L126,L128)</f>
        <v>0.612</v>
      </c>
      <c r="M129" s="270">
        <f>+SUM(M124,M125,M126,M128)</f>
        <v>0.573</v>
      </c>
      <c r="N129" s="463"/>
      <c r="O129" s="386">
        <f>+SUM(O124,O125,O126,O128)</f>
        <v>-676.615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103043.244</v>
      </c>
      <c r="M131" s="255">
        <f>+'Cash-Flow-2023-Leva'!M131/1000</f>
        <v>142714.426</v>
      </c>
      <c r="N131" s="463"/>
      <c r="O131" s="365">
        <f aca="true" t="shared" si="9" ref="O131:P133">+F131+I131+L131</f>
        <v>105534.58600000001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-6.102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-0.039</v>
      </c>
      <c r="M132" s="267">
        <f>+'Cash-Flow-2023-Leva'!M132/1000</f>
        <v>0.258</v>
      </c>
      <c r="N132" s="463"/>
      <c r="O132" s="361">
        <f t="shared" si="9"/>
        <v>-6.141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2537.084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102882.194</v>
      </c>
      <c r="M133" s="267">
        <f>+'Cash-Flow-2023-Leva'!M133/1000</f>
        <v>103043.244</v>
      </c>
      <c r="N133" s="463"/>
      <c r="O133" s="361">
        <f t="shared" si="9"/>
        <v>105419.278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51.84399999999974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-161.01100000000292</v>
      </c>
      <c r="M134" s="275">
        <f>+M133-M131-M132</f>
        <v>-39671.44</v>
      </c>
      <c r="N134" s="463"/>
      <c r="O134" s="394">
        <f>+O133-O131-O132</f>
        <v>-109.16700000000453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51.84399999999974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-161.01100000000292</v>
      </c>
      <c r="M142" s="537">
        <f>+M134+M140</f>
        <v>-39671.44</v>
      </c>
      <c r="N142" s="463"/>
      <c r="O142" s="549">
        <f>+O134+O140</f>
        <v>-109.16700000000453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6042023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2023-04-06T06:42:12Z</dcterms:modified>
  <cp:category/>
  <cp:version/>
  <cp:contentType/>
  <cp:contentStatus/>
</cp:coreProperties>
</file>