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<sst xmlns="http://schemas.openxmlformats.org/spreadsheetml/2006/main" count="545" uniqueCount="374">
  <si>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</si>
  <si>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</si>
  <si>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</si>
  <si>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</si>
  <si>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</si>
  <si>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</si>
  <si>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</si>
  <si>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</si>
  <si>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</si>
  <si>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</si>
  <si>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</si>
  <si>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</si>
  <si>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</si>
  <si>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</si>
  <si>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</si>
  <si>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</si>
  <si>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</si>
  <si>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</si>
  <si>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</si>
  <si>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</si>
  <si>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</si>
  <si>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</si>
  <si>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</si>
  <si>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</si>
  <si>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</si>
  <si>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</si>
  <si>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</si>
  <si>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</si>
  <si>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</si>
  <si>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</si>
  <si>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</si>
  <si>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</si>
  <si>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</si>
  <si>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</si>
  <si>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</si>
  <si>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</si>
  <si>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</si>
  <si>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</si>
  <si>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</si>
  <si>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</si>
  <si>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</si>
  <si>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</si>
  <si>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</si>
  <si>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</si>
  <si>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</si>
  <si>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</si>
  <si>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</si>
  <si>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</si>
  <si>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</si>
  <si>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</si>
  <si>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</si>
  <si>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</si>
  <si>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</si>
  <si>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</si>
  <si>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</si>
  <si>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</si>
  <si>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</si>
  <si>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</si>
  <si>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</si>
  <si>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</si>
  <si>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</si>
  <si>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</si>
  <si>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</si>
  <si>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</si>
  <si>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</si>
  <si>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</si>
  <si>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</si>
  <si>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</si>
  <si>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</si>
  <si>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</si>
  <si>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</si>
  <si>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</si>
  <si>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</si>
  <si>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</si>
  <si>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</si>
  <si>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</si>
  <si>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</si>
  <si>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</si>
  <si>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</si>
  <si>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</si>
  <si>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</si>
  <si>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</si>
  <si>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</si>
  <si>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</si>
  <si>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</si>
  <si>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</si>
  <si>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</si>
  <si>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</si>
  <si>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</si>
  <si>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</si>
  <si>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</si>
  <si>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</si>
  <si>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</si>
  <si>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</si>
  <si>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</si>
  <si>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</si>
  <si>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</si>
  <si>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</si>
  <si>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</si>
  <si>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</si>
  <si>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</si>
  <si>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</si>
  <si>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</si>
  <si>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</si>
  <si>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</si>
  <si>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</si>
  <si>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</si>
  <si>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</si>
  <si>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</si>
  <si>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</si>
  <si>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</si>
  <si>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</si>
  <si>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</si>
  <si>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</si>
  <si>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</si>
  <si>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</si>
  <si>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</si>
  <si>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</si>
  <si>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</si>
  <si>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</si>
  <si>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</si>
  <si>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</si>
  <si>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</si>
  <si>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</si>
  <si>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</si>
  <si>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</si>
  <si>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</si>
  <si>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</si>
  <si>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</si>
  <si>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</si>
  <si>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</si>
  <si>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</si>
  <si>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</si>
  <si>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</si>
  <si>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</si>
  <si>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</si>
  <si>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</si>
  <si>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</si>
  <si>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</si>
  <si>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</si>
  <si>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</si>
  <si>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</si>
  <si>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</si>
  <si>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</si>
  <si>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</si>
  <si>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</si>
  <si>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</si>
  <si>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</si>
  <si>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</si>
  <si>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</si>
  <si>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</si>
  <si>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</si>
  <si>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</si>
  <si>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</si>
  <si>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</si>
  <si>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</si>
  <si>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</si>
  <si>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</si>
  <si>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</si>
  <si>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</si>
  <si>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</si>
  <si>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</si>
  <si>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</si>
  <si>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</si>
  <si>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</si>
  <si>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</si>
  <si>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</si>
  <si>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</si>
  <si>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</si>
  <si>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</si>
  <si>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</si>
  <si>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</si>
  <si>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</si>
  <si>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</si>
  <si>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</si>
  <si>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</si>
  <si>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</si>
  <si>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</si>
  <si>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</si>
  <si>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</si>
  <si>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</si>
  <si>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</si>
  <si>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</si>
  <si>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</si>
  <si>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</si>
  <si>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</si>
  <si>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</si>
  <si>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</si>
  <si>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</si>
  <si>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</si>
  <si>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</si>
  <si>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</si>
  <si>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</si>
  <si>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</si>
  <si>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</si>
  <si>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</si>
  <si>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</si>
  <si>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</si>
  <si>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</si>
  <si>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</si>
  <si>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</si>
  <si>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</si>
  <si>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</si>
  <si>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</si>
  <si>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</si>
  <si>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</si>
  <si>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</si>
  <si>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</si>
  <si>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</si>
  <si>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</si>
  <si>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</si>
  <si>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</si>
  <si>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</si>
  <si>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</si>
  <si>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</si>
  <si>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</si>
  <si>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</si>
  <si>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</si>
  <si>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</si>
  <si>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</si>
  <si>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</si>
  <si>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</si>
  <si>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</si>
  <si>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</si>
  <si>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</si>
  <si>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</si>
  <si>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</si>
  <si>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</si>
  <si>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</si>
  <si>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</si>
  <si>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</si>
  <si>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</si>
  <si>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</si>
  <si>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</si>
  <si>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</si>
  <si>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</si>
  <si>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</si>
  <si>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</si>
  <si>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</si>
  <si>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</si>
  <si>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</si>
  <si>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</si>
  <si>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</si>
  <si>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</si>
  <si>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</si>
  <si>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</si>
  <si>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</si>
  <si>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</si>
  <si>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</si>
  <si>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</si>
  <si>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</si>
  <si>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</si>
  <si>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</si>
  <si>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</si>
  <si>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</si>
  <si>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</si>
  <si>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</si>
  <si>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</si>
  <si>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</si>
  <si>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</si>
  <si>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</si>
  <si>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</si>
  <si>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</si>
  <si>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</si>
  <si>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</si>
  <si>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</si>
  <si>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</si>
  <si>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</si>
  <si>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</si>
  <si>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</si>
  <si>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</si>
  <si>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</si>
  <si>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</si>
  <si>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</si>
  <si>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</si>
  <si>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</si>
  <si>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</si>
  <si>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</si>
  <si>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</si>
  <si>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</si>
  <si>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</si>
  <si>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</si>
  <si>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</si>
  <si>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</si>
  <si>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</si>
  <si>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</si>
  <si>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</si>
  <si>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</si>
  <si>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</si>
  <si>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</si>
  <si>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</si>
  <si>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</si>
  <si>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</si>
  <si>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</si>
  <si>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</si>
  <si>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</si>
  <si>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</si>
  <si>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</si>
  <si>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</si>
  <si>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</si>
  <si>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</si>
  <si>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</si>
  <si>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</si>
  <si>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</si>
  <si>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</si>
  <si>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</si>
  <si>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</si>
  <si>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</si>
  <si>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</si>
  <si>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</si>
  <si>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</si>
  <si>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</si>
  <si>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</si>
  <si>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</si>
  <si>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</si>
  <si>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</si>
  <si>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</si>
  <si>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</si>
  <si>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</si>
  <si>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</si>
  <si>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</si>
  <si>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</si>
  <si>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</si>
  <si>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</si>
  <si>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</si>
  <si>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</si>
  <si>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</si>
  <si>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</si>
  <si>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</si>
  <si>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</si>
  <si>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</si>
  <si>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</si>
  <si>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</si>
  <si>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</si>
  <si>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</si>
  <si>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</si>
  <si>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</si>
  <si>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</si>
  <si>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</si>
  <si>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</si>
  <si>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</si>
  <si>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</si>
  <si>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</si>
  <si>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</si>
  <si>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</si>
  <si>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</si>
  <si>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</si>
  <si>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</si>
  <si>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</si>
  <si>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</si>
  <si>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</si>
  <si>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</si>
  <si>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</si>
  <si>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</si>
  <si>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</si>
  <si>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</si>
  <si>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</si>
  <si>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</si>
  <si>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</si>
  <si>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</si>
  <si>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</si>
  <si>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</si>
  <si>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</si>
  <si>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</si>
  <si>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</si>
  <si>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</si>
  <si>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</si>
  <si>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</si>
  <si>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</si>
  <si>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</si>
  <si>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</si>
  <si>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</si>
  <si>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</si>
  <si>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МИНИСТЕРСТВО НА ЗДРАВЕОПАЗВАНТО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</si>
</sst>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7" fontId="25" fillId="3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5" fillId="38" borderId="0" xfId="57" applyNumberFormat="1" applyFont="1" applyFill="1" applyBorder="1" applyAlignment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 locked="0"/>
    </xf>
    <xf numFmtId="186" fontId="18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0" fontId="181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2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/>
    </xf>
    <xf numFmtId="186" fontId="18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K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19" sqref="M11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373</v>
      </c>
      <c r="C1" s="663"/>
      <c r="D1" s="663"/>
      <c r="E1" s="663"/>
      <c r="F1" s="664"/>
      <c r="G1" s="450" t="s">
        <v>253</v>
      </c>
      <c r="H1" s="443"/>
      <c r="I1" s="654"/>
      <c r="J1" s="655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МИНИСТЕРСТВО НА ЗДРАВЕОПАЗВАНТО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294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31.05.2018 г.</v>
      </c>
      <c r="G11" s="413">
        <f>+P5-1</f>
        <v>2017</v>
      </c>
      <c r="H11" s="15"/>
      <c r="I11" s="118" t="str">
        <f>+O8</f>
        <v>31.05.2018 г.</v>
      </c>
      <c r="J11" s="414">
        <f>+P5-1</f>
        <v>2017</v>
      </c>
      <c r="K11" s="16"/>
      <c r="L11" s="116" t="str">
        <f>+O8</f>
        <v>31.05.2018 г.</v>
      </c>
      <c r="M11" s="415">
        <f>+P5-1</f>
        <v>2017</v>
      </c>
      <c r="N11" s="16"/>
      <c r="O11" s="370" t="str">
        <f>+O8</f>
        <v>31.05.2018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11565530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11565530</v>
      </c>
      <c r="P16" s="401">
        <f t="shared" si="0"/>
        <v>28913336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621369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621369</v>
      </c>
      <c r="P18" s="395">
        <f t="shared" si="0"/>
        <v>1288406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2296052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2296052</v>
      </c>
      <c r="P19" s="429">
        <f t="shared" si="0"/>
        <v>4670919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133167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133167</v>
      </c>
      <c r="P20" s="429">
        <f t="shared" si="0"/>
        <v>358521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176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176</v>
      </c>
      <c r="P22" s="429">
        <f t="shared" si="0"/>
        <v>6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23273</v>
      </c>
      <c r="G24" s="249">
        <v>34773</v>
      </c>
      <c r="H24" s="15"/>
      <c r="I24" s="250"/>
      <c r="J24" s="249">
        <v>-111</v>
      </c>
      <c r="K24" s="243"/>
      <c r="L24" s="250"/>
      <c r="M24" s="249"/>
      <c r="N24" s="243"/>
      <c r="O24" s="378">
        <f t="shared" si="0"/>
        <v>23273</v>
      </c>
      <c r="P24" s="401">
        <f t="shared" si="0"/>
        <v>34662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14639567</v>
      </c>
      <c r="G25" s="251">
        <f>+ROUND(+SUM(G15,G16,G18,G19,G20,G21,G22,G23,G24),0)</f>
        <v>35265961</v>
      </c>
      <c r="H25" s="15"/>
      <c r="I25" s="252">
        <f>+ROUND(+SUM(I15,I16,I18,I19,I20,I21,I22,I23,I24),0)</f>
        <v>0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14639567</v>
      </c>
      <c r="P25" s="380">
        <f>+ROUND(+SUM(P15,P16,P18,P19,P20,P21,P22,P23,P24),0)</f>
        <v>35265850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3556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3556</v>
      </c>
      <c r="P28" s="429">
        <f t="shared" si="1"/>
        <v>10006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3556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3556</v>
      </c>
      <c r="P30" s="380">
        <f>+ROUND(+SUM(P27:P29),0)</f>
        <v>10006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-213132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-213132</v>
      </c>
      <c r="P37" s="380">
        <f t="shared" si="2"/>
        <v>-356331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-2624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-2624</v>
      </c>
      <c r="P38" s="430">
        <f t="shared" si="2"/>
        <v>-6882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-26719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-26719</v>
      </c>
      <c r="P39" s="431">
        <f t="shared" si="2"/>
        <v>-61361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10003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10003</v>
      </c>
      <c r="P42" s="380">
        <f>+ROUND(+G42+J42+M42,0)</f>
        <v>19978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1503</v>
      </c>
      <c r="P44" s="395">
        <f t="shared" si="3"/>
        <v>1647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900618</v>
      </c>
      <c r="G45" s="247">
        <v>3022082</v>
      </c>
      <c r="H45" s="15"/>
      <c r="I45" s="248">
        <v>235843</v>
      </c>
      <c r="J45" s="247">
        <v>246229</v>
      </c>
      <c r="K45" s="243"/>
      <c r="L45" s="248"/>
      <c r="M45" s="247"/>
      <c r="N45" s="243"/>
      <c r="O45" s="377">
        <f t="shared" si="3"/>
        <v>1136461</v>
      </c>
      <c r="P45" s="429">
        <f t="shared" si="3"/>
        <v>3268311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>
        <v>73628</v>
      </c>
      <c r="J46" s="247">
        <v>174800</v>
      </c>
      <c r="K46" s="243"/>
      <c r="L46" s="248"/>
      <c r="M46" s="247"/>
      <c r="N46" s="243"/>
      <c r="O46" s="377">
        <f t="shared" si="3"/>
        <v>73628</v>
      </c>
      <c r="P46" s="429">
        <f t="shared" si="3"/>
        <v>174800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36630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36630</v>
      </c>
      <c r="P47" s="401">
        <f t="shared" si="3"/>
        <v>345656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938751</v>
      </c>
      <c r="G48" s="251">
        <f>+ROUND(+SUM(G44:G47),0)</f>
        <v>3369385</v>
      </c>
      <c r="H48" s="15"/>
      <c r="I48" s="252">
        <f>+ROUND(+SUM(I44:I47),0)</f>
        <v>309471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1248222</v>
      </c>
      <c r="P48" s="380">
        <f>+ROUND(+SUM(P44:P47),0)</f>
        <v>3790414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15378745</v>
      </c>
      <c r="G50" s="273">
        <f>+ROUND(G25+G30+G37+G42+G48,0)</f>
        <v>38308999</v>
      </c>
      <c r="H50" s="15"/>
      <c r="I50" s="274">
        <f>+ROUND(I25+I30+I37+I42+I48,0)</f>
        <v>309471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15688216</v>
      </c>
      <c r="P50" s="397">
        <f>+ROUND(P25+P30+P37+P42+P48,0)</f>
        <v>38729917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38034591</v>
      </c>
      <c r="G53" s="275">
        <v>131151643</v>
      </c>
      <c r="H53" s="15"/>
      <c r="I53" s="276">
        <v>107323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38141914</v>
      </c>
      <c r="P53" s="376">
        <f t="shared" si="4"/>
        <v>133736623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466135</v>
      </c>
      <c r="G54" s="249">
        <v>1470209</v>
      </c>
      <c r="H54" s="15"/>
      <c r="I54" s="250">
        <v>296</v>
      </c>
      <c r="J54" s="249">
        <v>318</v>
      </c>
      <c r="K54" s="243"/>
      <c r="L54" s="250"/>
      <c r="M54" s="249"/>
      <c r="N54" s="243"/>
      <c r="O54" s="378">
        <f t="shared" si="4"/>
        <v>466431</v>
      </c>
      <c r="P54" s="401">
        <f t="shared" si="4"/>
        <v>1470527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1633299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1633299</v>
      </c>
      <c r="P55" s="401">
        <f t="shared" si="4"/>
        <v>810187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72346710</v>
      </c>
      <c r="G56" s="249">
        <v>172740778</v>
      </c>
      <c r="H56" s="15"/>
      <c r="I56" s="250">
        <v>161756</v>
      </c>
      <c r="J56" s="249">
        <v>635846</v>
      </c>
      <c r="K56" s="243"/>
      <c r="L56" s="250"/>
      <c r="M56" s="249"/>
      <c r="N56" s="243"/>
      <c r="O56" s="378">
        <f t="shared" si="4"/>
        <v>72508466</v>
      </c>
      <c r="P56" s="401">
        <f t="shared" si="4"/>
        <v>173376624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14666008</v>
      </c>
      <c r="G57" s="249">
        <v>33803767</v>
      </c>
      <c r="H57" s="15"/>
      <c r="I57" s="250">
        <v>8023</v>
      </c>
      <c r="J57" s="249">
        <v>52551</v>
      </c>
      <c r="K57" s="243"/>
      <c r="L57" s="250"/>
      <c r="M57" s="249"/>
      <c r="N57" s="243"/>
      <c r="O57" s="378">
        <f t="shared" si="4"/>
        <v>14674031</v>
      </c>
      <c r="P57" s="401">
        <f t="shared" si="4"/>
        <v>33856318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127146743</v>
      </c>
      <c r="G58" s="277">
        <f>+ROUND(+SUM(G53:G57),0)</f>
        <v>339976584</v>
      </c>
      <c r="H58" s="15"/>
      <c r="I58" s="278">
        <f>+ROUND(+SUM(I53:I57),0)</f>
        <v>277398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127424141</v>
      </c>
      <c r="P58" s="399">
        <f>+ROUND(+SUM(P53:P57),0)</f>
        <v>343250279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206965</v>
      </c>
      <c r="G61" s="249">
        <v>914401</v>
      </c>
      <c r="H61" s="15"/>
      <c r="I61" s="250">
        <v>163954</v>
      </c>
      <c r="J61" s="249">
        <v>6498745</v>
      </c>
      <c r="K61" s="243"/>
      <c r="L61" s="250"/>
      <c r="M61" s="249"/>
      <c r="N61" s="243"/>
      <c r="O61" s="378">
        <f t="shared" si="5"/>
        <v>370919</v>
      </c>
      <c r="P61" s="401">
        <f t="shared" si="5"/>
        <v>7413146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421</v>
      </c>
      <c r="G62" s="249">
        <v>287102</v>
      </c>
      <c r="H62" s="15"/>
      <c r="I62" s="250">
        <v>700</v>
      </c>
      <c r="J62" s="249">
        <v>72336</v>
      </c>
      <c r="K62" s="243"/>
      <c r="L62" s="250"/>
      <c r="M62" s="249"/>
      <c r="N62" s="243"/>
      <c r="O62" s="378">
        <f t="shared" si="5"/>
        <v>1121</v>
      </c>
      <c r="P62" s="401">
        <f t="shared" si="5"/>
        <v>359438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207386</v>
      </c>
      <c r="G65" s="277">
        <f>+ROUND(+SUM(G60:G63),0)</f>
        <v>1201503</v>
      </c>
      <c r="H65" s="15"/>
      <c r="I65" s="278">
        <f>+ROUND(+SUM(I60:I63),0)</f>
        <v>164654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372040</v>
      </c>
      <c r="P65" s="399">
        <f>+ROUND(+SUM(P60:P63),0)</f>
        <v>7772584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62911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1638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1638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1638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1638</v>
      </c>
      <c r="P69" s="399">
        <f>+ROUND(+SUM(P67:P68),0)</f>
        <v>62911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7417604</v>
      </c>
      <c r="G71" s="275">
        <v>23324279</v>
      </c>
      <c r="H71" s="15"/>
      <c r="I71" s="276">
        <v>99361</v>
      </c>
      <c r="J71" s="275">
        <v>344689</v>
      </c>
      <c r="K71" s="243"/>
      <c r="L71" s="276"/>
      <c r="M71" s="275"/>
      <c r="N71" s="243"/>
      <c r="O71" s="383">
        <f>+ROUND(+F71+I71+L71,0)</f>
        <v>7516965</v>
      </c>
      <c r="P71" s="376">
        <f>+ROUND(+G71+J71+M71,0)</f>
        <v>23668968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7417604</v>
      </c>
      <c r="G73" s="277">
        <f>+ROUND(+SUM(G71:G72),0)</f>
        <v>23324279</v>
      </c>
      <c r="H73" s="15"/>
      <c r="I73" s="278">
        <f>+ROUND(+SUM(I71:I72),0)</f>
        <v>99361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7516965</v>
      </c>
      <c r="P73" s="399">
        <f>+ROUND(+SUM(P71:P72),0)</f>
        <v>23668968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30050259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30050259</v>
      </c>
      <c r="P75" s="376">
        <f>+ROUND(+G75+J75+M75,0)</f>
        <v>101270914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475998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475998</v>
      </c>
      <c r="P76" s="401">
        <f>+ROUND(+G76+J76+M76,0)</f>
        <v>11610329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30526257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30526257</v>
      </c>
      <c r="P77" s="399">
        <f>+ROUND(+SUM(P75:P76),0)</f>
        <v>112881243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165299628</v>
      </c>
      <c r="G79" s="288">
        <f>+ROUND(G58+G65+G69+G73+G77,0)</f>
        <v>477446520</v>
      </c>
      <c r="H79" s="15"/>
      <c r="I79" s="285">
        <f>+ROUND(I58+I65+I69+I73+I77,0)</f>
        <v>541413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165841041</v>
      </c>
      <c r="P79" s="409">
        <f>+ROUND(P58+P65+P69+P73+P77,0)</f>
        <v>487635985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150861083</v>
      </c>
      <c r="G81" s="245">
        <v>449303850</v>
      </c>
      <c r="H81" s="15"/>
      <c r="I81" s="246">
        <v>1645920</v>
      </c>
      <c r="J81" s="245">
        <v>9384366</v>
      </c>
      <c r="K81" s="243"/>
      <c r="L81" s="246"/>
      <c r="M81" s="245"/>
      <c r="N81" s="243"/>
      <c r="O81" s="382">
        <f>+ROUND(+F81+I81+L81,0)</f>
        <v>152507003</v>
      </c>
      <c r="P81" s="395">
        <f>+ROUND(+G81+J81+M81,0)</f>
        <v>458688216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150861083</v>
      </c>
      <c r="G83" s="286">
        <f>+ROUND(G81+G82,0)</f>
        <v>449303850</v>
      </c>
      <c r="H83" s="15"/>
      <c r="I83" s="287">
        <f>+ROUND(I81+I82,0)</f>
        <v>1645920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152507003</v>
      </c>
      <c r="P83" s="404">
        <f>+ROUND(P81+P82,0)</f>
        <v>458688216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940200</v>
      </c>
      <c r="G85" s="307">
        <f>+ROUND(G50,0)-ROUND(G79,0)+ROUND(G83,0)</f>
        <v>10166329</v>
      </c>
      <c r="H85" s="15"/>
      <c r="I85" s="308">
        <f>+ROUND(I50,0)-ROUND(I79,0)+ROUND(I83,0)</f>
        <v>1413978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2354178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-940200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-1413978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-2354178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>
        <v>-2223113</v>
      </c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-2223113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225926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225926</v>
      </c>
      <c r="P94" s="401">
        <f t="shared" si="6"/>
        <v>777778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-1997187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-1997187</v>
      </c>
      <c r="P97" s="380">
        <f>+ROUND(+SUM(P93:P96),0)</f>
        <v>777778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-1960106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-1960106</v>
      </c>
      <c r="P103" s="397">
        <f>+ROUND(P91+P97+P101,0)</f>
        <v>743025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-10782957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-10782957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-2495</v>
      </c>
      <c r="G118" s="275">
        <v>-36601</v>
      </c>
      <c r="H118" s="15"/>
      <c r="I118" s="276"/>
      <c r="J118" s="275"/>
      <c r="K118" s="243"/>
      <c r="L118" s="276">
        <v>-836849</v>
      </c>
      <c r="M118" s="275">
        <v>781519</v>
      </c>
      <c r="N118" s="243"/>
      <c r="O118" s="383">
        <f>+ROUND(+F118+I118+L118,0)</f>
        <v>-839344</v>
      </c>
      <c r="P118" s="376">
        <f>+ROUND(+G118+J118+M118,0)</f>
        <v>744918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-2300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-836849</v>
      </c>
      <c r="M120" s="277">
        <f>+ROUND(+SUM(M118:M119),0)</f>
        <v>781519</v>
      </c>
      <c r="N120" s="243"/>
      <c r="O120" s="398">
        <f>+ROUND(+SUM(O118:O119),0)</f>
        <v>-839149</v>
      </c>
      <c r="P120" s="399">
        <f>+ROUND(+SUM(P118:P119),0)</f>
        <v>750014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-2300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-836849</v>
      </c>
      <c r="M122" s="288">
        <f>+ROUND(M108+M112+M116+M120,0)</f>
        <v>781519</v>
      </c>
      <c r="N122" s="243"/>
      <c r="O122" s="402">
        <f>+ROUND(O108+O112+O116+O120,0)</f>
        <v>-839149</v>
      </c>
      <c r="P122" s="409">
        <f>+ROUND(P108+P112+P116+P120,0)</f>
        <v>-10032943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1408209</v>
      </c>
      <c r="G125" s="249">
        <v>-362092</v>
      </c>
      <c r="H125" s="15"/>
      <c r="I125" s="250">
        <v>-1408859</v>
      </c>
      <c r="J125" s="249">
        <v>355019</v>
      </c>
      <c r="K125" s="243"/>
      <c r="L125" s="250"/>
      <c r="M125" s="249"/>
      <c r="N125" s="243"/>
      <c r="O125" s="378">
        <f t="shared" si="7"/>
        <v>-650</v>
      </c>
      <c r="P125" s="401">
        <f t="shared" si="7"/>
        <v>-7073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-417146</v>
      </c>
      <c r="G126" s="249">
        <v>-52423</v>
      </c>
      <c r="H126" s="15"/>
      <c r="I126" s="250">
        <v>-5119</v>
      </c>
      <c r="J126" s="249">
        <v>52423</v>
      </c>
      <c r="K126" s="243"/>
      <c r="L126" s="250"/>
      <c r="M126" s="249"/>
      <c r="N126" s="243"/>
      <c r="O126" s="378">
        <f t="shared" si="7"/>
        <v>-422265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991063</v>
      </c>
      <c r="G129" s="286">
        <f>+ROUND(+SUM(G124,G125,G126,G128),0)</f>
        <v>-414515</v>
      </c>
      <c r="H129" s="15"/>
      <c r="I129" s="287">
        <f>+ROUND(+SUM(I124,I125,I126,I128),0)</f>
        <v>-1413978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-422915</v>
      </c>
      <c r="P129" s="404">
        <f>+ROUND(+SUM(P124,P125,P126,P128),0)</f>
        <v>-7073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9981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9981</v>
      </c>
      <c r="P132" s="401">
        <f t="shared" si="8"/>
        <v>-57534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2839882</v>
      </c>
      <c r="G133" s="249">
        <v>2861043</v>
      </c>
      <c r="H133" s="15"/>
      <c r="I133" s="250"/>
      <c r="J133" s="249"/>
      <c r="K133" s="243"/>
      <c r="L133" s="250">
        <v>1527290</v>
      </c>
      <c r="M133" s="249">
        <v>2364138</v>
      </c>
      <c r="N133" s="243"/>
      <c r="O133" s="378">
        <f t="shared" si="8"/>
        <v>4367172</v>
      </c>
      <c r="P133" s="401">
        <f t="shared" si="8"/>
        <v>5225181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-31143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-836849</v>
      </c>
      <c r="M134" s="291">
        <f>+ROUND(+M133-M131-M132,0)</f>
        <v>781519</v>
      </c>
      <c r="N134" s="243"/>
      <c r="O134" s="411">
        <f>+ROUND(+O133-O131-O132,0)</f>
        <v>-867992</v>
      </c>
      <c r="P134" s="412">
        <f>+ROUND(+P133-P131-P132,0)</f>
        <v>485157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/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/>
      <c r="G143" s="666"/>
      <c r="H143" s="666"/>
      <c r="I143" s="667"/>
      <c r="J143" s="362"/>
      <c r="K143" s="16"/>
      <c r="L143" s="362" t="s">
        <v>241</v>
      </c>
      <c r="M143" s="665"/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МИНИСТЕРСТВО НА ЗДРАВЕОПАЗВАНТО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0</v>
      </c>
      <c r="J1" s="689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МИНИСТЕРСТВО НА ЗДРАВЕОПАЗВАНТО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31.05.2018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31.05.2018 г.</v>
      </c>
      <c r="G11" s="413">
        <f>+'Cash-Flow-2018-Leva'!G11</f>
        <v>2017</v>
      </c>
      <c r="H11" s="5"/>
      <c r="I11" s="118" t="str">
        <f>+O8</f>
        <v>31.05.2018 г.</v>
      </c>
      <c r="J11" s="414">
        <f>+'Cash-Flow-2018-Leva'!J11</f>
        <v>2017</v>
      </c>
      <c r="K11" s="5"/>
      <c r="L11" s="116" t="str">
        <f>+O8</f>
        <v>31.05.2018 г.</v>
      </c>
      <c r="M11" s="415">
        <f>+'Cash-Flow-2018-Leva'!M11</f>
        <v>2017</v>
      </c>
      <c r="N11" s="482"/>
      <c r="O11" s="370" t="str">
        <f>+O8</f>
        <v>31.05.2018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11565.53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11565.53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621.369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621.369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2296.052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2296.052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133.167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133.167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0.176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0.176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23.273</v>
      </c>
      <c r="G24" s="283">
        <f>+'Cash-Flow-2018-Leva'!G24/1000</f>
        <v>34.773</v>
      </c>
      <c r="H24" s="293"/>
      <c r="I24" s="284">
        <f>+'Cash-Flow-2018-Leva'!I24/1000</f>
        <v>0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23.273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14639.567</v>
      </c>
      <c r="G25" s="251">
        <f>+SUM(G15,G16,G18,G19,G20,G21,G22,G23,G24)</f>
        <v>35265.961</v>
      </c>
      <c r="H25" s="293"/>
      <c r="I25" s="252">
        <f>+SUM(I15,I16,I18,I19,I20,I21,I22,I23,I24)</f>
        <v>0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14639.567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3.556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3.556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3.556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3.556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-213.132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-213.132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-2.624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-2.624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-26.719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-26.719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10.003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10.003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1.503</v>
      </c>
      <c r="P44" s="395">
        <f t="shared" si="4"/>
        <v>1.647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900.618</v>
      </c>
      <c r="G45" s="294">
        <f>+'Cash-Flow-2018-Leva'!G45/1000</f>
        <v>3022.082</v>
      </c>
      <c r="H45" s="293"/>
      <c r="I45" s="295">
        <f>+'Cash-Flow-2018-Leva'!I45/1000</f>
        <v>235.843</v>
      </c>
      <c r="J45" s="294">
        <f>+'Cash-Flow-2018-Leva'!J45/1000</f>
        <v>246.229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1136.461</v>
      </c>
      <c r="P45" s="429">
        <f t="shared" si="4"/>
        <v>3268.3109999999997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73.628</v>
      </c>
      <c r="J46" s="294">
        <f>+'Cash-Flow-2018-Leva'!J46/1000</f>
        <v>174.8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73.628</v>
      </c>
      <c r="P46" s="429">
        <f t="shared" si="4"/>
        <v>174.8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36.63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36.63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938.7510000000001</v>
      </c>
      <c r="G48" s="251">
        <f>+SUM(G44:G47)</f>
        <v>3369.3849999999998</v>
      </c>
      <c r="H48" s="293"/>
      <c r="I48" s="252">
        <f>+SUM(I44:I47)</f>
        <v>309.471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1248.222</v>
      </c>
      <c r="P48" s="380">
        <f>+SUM(P44:P47)</f>
        <v>3790.4139999999998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15378.745</v>
      </c>
      <c r="G50" s="273">
        <f>+G25+G30+G37+G42+G48</f>
        <v>38308.99900000001</v>
      </c>
      <c r="H50" s="293"/>
      <c r="I50" s="274">
        <f>+I25+I30+I37+I42+I48</f>
        <v>309.471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15688.216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38034.591</v>
      </c>
      <c r="G53" s="244">
        <f>+'Cash-Flow-2018-Leva'!G53/1000</f>
        <v>131151.643</v>
      </c>
      <c r="H53" s="293"/>
      <c r="I53" s="254">
        <f>+'Cash-Flow-2018-Leva'!I53/1000</f>
        <v>107.323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38141.914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466.135</v>
      </c>
      <c r="G54" s="283">
        <f>+'Cash-Flow-2018-Leva'!G54/1000</f>
        <v>1470.209</v>
      </c>
      <c r="H54" s="293"/>
      <c r="I54" s="284">
        <f>+'Cash-Flow-2018-Leva'!I54/1000</f>
        <v>0.296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466.431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1633.299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1633.299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72346.71</v>
      </c>
      <c r="G56" s="283">
        <f>+'Cash-Flow-2018-Leva'!G56/1000</f>
        <v>172740.778</v>
      </c>
      <c r="H56" s="293"/>
      <c r="I56" s="284">
        <f>+'Cash-Flow-2018-Leva'!I56/1000</f>
        <v>161.756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72508.466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14666.008</v>
      </c>
      <c r="G57" s="283">
        <f>+'Cash-Flow-2018-Leva'!G57/1000</f>
        <v>33803.767</v>
      </c>
      <c r="H57" s="293"/>
      <c r="I57" s="284">
        <f>+'Cash-Flow-2018-Leva'!I57/1000</f>
        <v>8.023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14674.030999999999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127146.74300000002</v>
      </c>
      <c r="G58" s="277">
        <f>+SUM(G53:G57)</f>
        <v>339976.58400000003</v>
      </c>
      <c r="H58" s="293"/>
      <c r="I58" s="278">
        <f>+SUM(I53:I57)</f>
        <v>277.398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127424.14099999999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206.965</v>
      </c>
      <c r="G61" s="283">
        <f>+'Cash-Flow-2018-Leva'!G61/1000</f>
        <v>914.401</v>
      </c>
      <c r="H61" s="293"/>
      <c r="I61" s="284">
        <f>+'Cash-Flow-2018-Leva'!I61/1000</f>
        <v>163.954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370.919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0.421</v>
      </c>
      <c r="G62" s="283">
        <f>+'Cash-Flow-2018-Leva'!G62/1000</f>
        <v>287.102</v>
      </c>
      <c r="H62" s="293"/>
      <c r="I62" s="284">
        <f>+'Cash-Flow-2018-Leva'!I62/1000</f>
        <v>0.7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1.121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207.386</v>
      </c>
      <c r="G65" s="277">
        <f>+SUM(G60:G63)</f>
        <v>1201.503</v>
      </c>
      <c r="H65" s="293"/>
      <c r="I65" s="278">
        <f>+SUM(I60:I63)</f>
        <v>164.654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372.03999999999996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1.638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1.638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1.638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1.638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7417.604</v>
      </c>
      <c r="G71" s="244">
        <f>+'Cash-Flow-2018-Leva'!G71/1000</f>
        <v>23324.279</v>
      </c>
      <c r="H71" s="293"/>
      <c r="I71" s="254">
        <f>+'Cash-Flow-2018-Leva'!I71/1000</f>
        <v>99.361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7516.965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7417.604</v>
      </c>
      <c r="G73" s="277">
        <f>+SUM(G71:G72)</f>
        <v>23324.279</v>
      </c>
      <c r="H73" s="293"/>
      <c r="I73" s="278">
        <f>+SUM(I71:I72)</f>
        <v>99.361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7516.965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30050.259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30050.259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475.998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475.998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30526.256999999998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30526.256999999998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165299.62800000003</v>
      </c>
      <c r="G79" s="288">
        <f>+G58+G65+G69+G73+G77</f>
        <v>477446.5200000001</v>
      </c>
      <c r="H79" s="293"/>
      <c r="I79" s="285">
        <f>+I58+I65+I69+I73+I77</f>
        <v>541.413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165841.04099999997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150861.083</v>
      </c>
      <c r="G81" s="271">
        <f>+'Cash-Flow-2018-Leva'!G81/1000</f>
        <v>449303.85</v>
      </c>
      <c r="H81" s="293"/>
      <c r="I81" s="272">
        <f>+'Cash-Flow-2018-Leva'!I81/1000</f>
        <v>1645.92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152507.00300000003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150861.083</v>
      </c>
      <c r="G83" s="286">
        <f>+G81+G82</f>
        <v>449303.85</v>
      </c>
      <c r="H83" s="293"/>
      <c r="I83" s="287">
        <f>+I81+I82</f>
        <v>1645.92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152507.00300000003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940.1999999999825</v>
      </c>
      <c r="G85" s="307">
        <f>+G50-G79+G83</f>
        <v>10166.32899999991</v>
      </c>
      <c r="H85" s="293"/>
      <c r="I85" s="308">
        <f>+I50-I79+I83</f>
        <v>1413.978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2354.1780000000726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-940.2</v>
      </c>
      <c r="G86" s="309">
        <f>+G103+G122+G129-G134</f>
        <v>-10166.329</v>
      </c>
      <c r="H86" s="293"/>
      <c r="I86" s="310">
        <f>+I103+I122+I129-I134</f>
        <v>-1413.9779999999998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-2354.178000000001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-2223.113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-2223.113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225.926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225.926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-1997.187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-1997.187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-1960.106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-1960.106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-2.495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-836.849</v>
      </c>
      <c r="M118" s="244">
        <f>+'Cash-Flow-2018-Leva'!M118/1000</f>
        <v>781.519</v>
      </c>
      <c r="N118" s="483"/>
      <c r="O118" s="383">
        <f>+F118+I118+L118</f>
        <v>-839.344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-2.3000000000000003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-836.849</v>
      </c>
      <c r="M120" s="277">
        <f>+SUM(M118:M119)</f>
        <v>781.519</v>
      </c>
      <c r="N120" s="483"/>
      <c r="O120" s="398">
        <f>+SUM(O118:O119)</f>
        <v>-839.149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-2.3000000000000003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-836.849</v>
      </c>
      <c r="M122" s="288">
        <f>+M108+M112+M116+M120</f>
        <v>781.519</v>
      </c>
      <c r="N122" s="483"/>
      <c r="O122" s="402">
        <f>+O108+O112+O116+O120</f>
        <v>-839.149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1408.209</v>
      </c>
      <c r="G125" s="283">
        <f>+'Cash-Flow-2018-Leva'!G125/1000</f>
        <v>-362.092</v>
      </c>
      <c r="H125" s="293"/>
      <c r="I125" s="284">
        <f>+'Cash-Flow-2018-Leva'!I125/1000</f>
        <v>-1408.859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-0.6499999999998636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-417.146</v>
      </c>
      <c r="G126" s="283">
        <f>+'Cash-Flow-2018-Leva'!G126/1000</f>
        <v>-52.423</v>
      </c>
      <c r="H126" s="293"/>
      <c r="I126" s="284">
        <f>+'Cash-Flow-2018-Leva'!I126/1000</f>
        <v>-5.119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-422.265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991.0630000000001</v>
      </c>
      <c r="G129" s="286">
        <f>+SUM(G124,G125,G126,G128)</f>
        <v>-414.515</v>
      </c>
      <c r="H129" s="293"/>
      <c r="I129" s="287">
        <f>+SUM(I124,I125,I126,I128)</f>
        <v>-1413.9779999999998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-422.91499999999985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9.981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9.981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2839.882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1527.29</v>
      </c>
      <c r="M133" s="283">
        <f>+'Cash-Flow-2018-Leva'!M133/1000</f>
        <v>2364.138</v>
      </c>
      <c r="N133" s="483"/>
      <c r="O133" s="378">
        <f t="shared" si="9"/>
        <v>4367.1720000000005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-31.14299999999981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-836.8490000000002</v>
      </c>
      <c r="M134" s="291">
        <f>+M133-M131-M132</f>
        <v>781.519</v>
      </c>
      <c r="N134" s="483"/>
      <c r="O134" s="411">
        <f>+O133-O131-O132</f>
        <v>-867.9919999999995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0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2018-01-03T17:05:49Z</cp:lastPrinted>
  <dcterms:created xsi:type="dcterms:W3CDTF">2015-12-01T07:17:04Z</dcterms:created>
  <dcterms:modified xsi:type="dcterms:W3CDTF">2018-06-12T06:56:00Z</dcterms:modified>
  <cp:category/>
  <cp:version/>
  <cp:contentType/>
  <cp:contentStatus/>
</cp:coreProperties>
</file>