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<sst xmlns="http://schemas.openxmlformats.org/spreadsheetml/2006/main" count="520" uniqueCount="351">
  <si>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</si>
  <si>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</si>
  <si>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</si>
  <si>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</si>
  <si>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</si>
  <si>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</si>
  <si>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</si>
  <si>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</si>
  <si>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</si>
  <si>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</si>
  <si>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</si>
  <si>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</si>
  <si>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</si>
  <si>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</si>
  <si>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</si>
  <si>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</si>
  <si>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</si>
  <si>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</si>
  <si>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</si>
  <si>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</si>
  <si>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</si>
  <si>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</si>
  <si>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</si>
  <si>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</si>
  <si>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</si>
  <si>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</si>
  <si>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</si>
  <si>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</si>
  <si>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</si>
  <si>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</si>
  <si>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</si>
  <si>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</si>
  <si>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</si>
  <si>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</si>
  <si>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</si>
  <si>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</si>
  <si>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</si>
  <si>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</si>
  <si>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</si>
  <si>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</si>
  <si>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</si>
  <si>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</si>
  <si>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</si>
  <si>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</si>
  <si>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</si>
  <si>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</si>
  <si>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</si>
  <si>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</si>
  <si>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</si>
  <si>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</si>
  <si>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</si>
  <si>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</si>
  <si>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</si>
  <si>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</si>
  <si>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</si>
  <si>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</si>
  <si>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</si>
  <si>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</si>
  <si>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</si>
  <si>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</si>
  <si>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</si>
  <si>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</si>
  <si>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</si>
  <si>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</si>
  <si>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</si>
  <si>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</si>
  <si>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</si>
  <si>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</si>
  <si>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</si>
  <si>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</si>
  <si>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</si>
  <si>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</si>
  <si>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</si>
  <si>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</si>
  <si>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</si>
  <si>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</si>
  <si>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</si>
  <si>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</si>
  <si>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</si>
  <si>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</si>
  <si>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</si>
  <si>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</si>
  <si>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</si>
  <si>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</si>
  <si>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</si>
  <si>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</si>
  <si>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</si>
  <si>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</si>
  <si>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</si>
  <si>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</si>
  <si>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</si>
  <si>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</si>
  <si>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</si>
  <si>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</si>
  <si>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</si>
  <si>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</si>
  <si>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</si>
  <si>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</si>
  <si>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</si>
  <si>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</si>
  <si>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</si>
  <si>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</si>
  <si>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</si>
  <si>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</si>
  <si>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</si>
  <si>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</si>
  <si>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</si>
  <si>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</si>
  <si>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</si>
  <si>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</si>
  <si>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</si>
  <si>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</si>
  <si>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</si>
  <si>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</si>
  <si>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</si>
  <si>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</si>
  <si>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</si>
  <si>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</si>
  <si>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</si>
  <si>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</si>
  <si>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</si>
  <si>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</si>
  <si>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</si>
  <si>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</si>
  <si>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</si>
  <si>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</si>
  <si>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</si>
  <si>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</si>
  <si>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</si>
  <si>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</si>
  <si>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</si>
  <si>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</si>
  <si>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</si>
  <si>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</si>
  <si>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</si>
  <si>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</si>
  <si>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</si>
  <si>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</si>
  <si>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</si>
  <si>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</si>
  <si>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</si>
  <si>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</si>
  <si>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</si>
  <si>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</si>
  <si>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</si>
  <si>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</si>
  <si>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</si>
  <si>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</si>
  <si>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</si>
  <si>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</si>
  <si>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</si>
  <si>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</si>
  <si>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</si>
  <si>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</si>
  <si>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</si>
  <si>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</si>
  <si>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</si>
  <si>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</si>
  <si>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</si>
  <si>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</si>
  <si>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</si>
  <si>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</si>
  <si>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</si>
  <si>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</si>
  <si>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</si>
  <si>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</si>
  <si>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</si>
  <si>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</si>
  <si>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</si>
  <si>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</si>
  <si>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</si>
  <si>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</si>
  <si>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</si>
  <si>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</si>
  <si>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</si>
  <si>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</si>
  <si>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</si>
  <si>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</si>
  <si>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</si>
  <si>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</si>
  <si>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</si>
  <si>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</si>
  <si>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</si>
  <si>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</si>
  <si>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</si>
  <si>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</si>
  <si>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</si>
  <si>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</si>
  <si>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</si>
  <si>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</si>
  <si>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</si>
  <si>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</si>
  <si>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</si>
  <si>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</si>
  <si>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</si>
  <si>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</si>
  <si>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</si>
  <si>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</si>
  <si>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</si>
  <si>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</si>
  <si>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</si>
  <si>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</si>
  <si>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</si>
  <si>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</si>
  <si>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</si>
  <si>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</si>
  <si>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</si>
  <si>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</si>
  <si>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</si>
  <si>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</si>
  <si>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</si>
  <si>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</si>
  <si>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</si>
  <si>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</si>
  <si>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</si>
  <si>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</si>
  <si>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</si>
  <si>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</si>
  <si>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</si>
  <si>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</si>
  <si>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</si>
  <si>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</si>
  <si>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</si>
  <si>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</si>
  <si>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</si>
  <si>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</si>
  <si>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</si>
  <si>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</si>
  <si>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</si>
  <si>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</si>
  <si>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</si>
  <si>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</si>
  <si>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</si>
  <si>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</si>
  <si>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</si>
  <si>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</si>
  <si>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</si>
  <si>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</si>
  <si>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</si>
  <si>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</si>
  <si>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</si>
  <si>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</si>
  <si>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</si>
  <si>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</si>
  <si>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</si>
  <si>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</si>
  <si>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</si>
  <si>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</si>
  <si>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</si>
  <si>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</si>
  <si>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</si>
  <si>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</si>
  <si>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</si>
  <si>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</si>
  <si>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</si>
  <si>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</si>
  <si>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</si>
  <si>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</si>
  <si>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</si>
  <si>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</si>
  <si>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</si>
  <si>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</si>
  <si>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</si>
  <si>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</si>
  <si>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</si>
  <si>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</si>
  <si>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</si>
  <si>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</si>
  <si>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</si>
  <si>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</si>
  <si>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</si>
  <si>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</si>
  <si>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</si>
  <si>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</si>
  <si>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</si>
  <si>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</si>
  <si>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</si>
  <si>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</si>
  <si>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</si>
  <si>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</si>
  <si>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</si>
  <si>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</si>
  <si>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</si>
  <si>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</si>
  <si>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</si>
  <si>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</si>
  <si>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</si>
  <si>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</si>
  <si>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</si>
  <si>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</si>
  <si>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</si>
  <si>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</si>
  <si>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</si>
  <si>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</si>
  <si>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</si>
  <si>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</si>
  <si>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</si>
  <si>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</si>
  <si>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</si>
  <si>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</si>
  <si>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</si>
  <si>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</si>
  <si>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</si>
  <si>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</si>
  <si>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</si>
  <si>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</si>
  <si>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</si>
  <si>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</si>
  <si>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</si>
  <si>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</si>
  <si>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</si>
  <si>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</si>
  <si>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</si>
  <si>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</si>
  <si>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</si>
  <si>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</si>
  <si>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</si>
  <si>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</si>
  <si>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</si>
  <si>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</si>
  <si>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</si>
  <si>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</si>
  <si>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</si>
  <si>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</si>
  <si>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</si>
  <si>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</si>
  <si>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</si>
  <si>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</si>
  <si>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</si>
  <si>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</si>
  <si>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</si>
  <si>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</si>
  <si>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</si>
  <si>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</si>
  <si>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</si>
  <si>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</si>
  <si>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</si>
  <si>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</si>
  <si>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</si>
  <si>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</si>
  <si>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</si>
  <si>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</si>
  <si>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</si>
  <si>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</si>
  <si>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</si>
  <si>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</si>
  <si>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</si>
  <si>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</si>
  <si>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</si>
  <si>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</si>
  <si>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МИНИСТЕРСТВО НА ЗДРАВЕОПАЗВАНЕТО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</si>
</sst>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 locked="0"/>
    </xf>
    <xf numFmtId="178" fontId="184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185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86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7" fillId="36" borderId="48" xfId="53" applyFont="1" applyFill="1" applyBorder="1" applyAlignment="1" applyProtection="1">
      <alignment horizontal="center" vertical="center"/>
      <protection locked="0"/>
    </xf>
    <xf numFmtId="0" fontId="187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8" fillId="33" borderId="48" xfId="53" applyNumberFormat="1" applyFont="1" applyFill="1" applyBorder="1" applyAlignment="1" applyProtection="1">
      <alignment horizontal="center" vertical="center"/>
      <protection locked="0"/>
    </xf>
    <xf numFmtId="38" fontId="188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9" fillId="32" borderId="50" xfId="57" applyFont="1" applyFill="1" applyBorder="1" applyAlignment="1" applyProtection="1" quotePrefix="1">
      <alignment horizontal="center"/>
      <protection/>
    </xf>
    <xf numFmtId="0" fontId="190" fillId="38" borderId="21" xfId="62" applyFont="1" applyFill="1" applyBorder="1" applyAlignment="1" applyProtection="1">
      <alignment horizontal="center" vertical="center" wrapText="1"/>
      <protection locked="0"/>
    </xf>
    <xf numFmtId="0" fontId="190" fillId="38" borderId="22" xfId="62" applyFont="1" applyFill="1" applyBorder="1" applyAlignment="1" applyProtection="1">
      <alignment horizontal="center" vertical="center" wrapText="1"/>
      <protection locked="0"/>
    </xf>
    <xf numFmtId="0" fontId="190" fillId="38" borderId="23" xfId="62" applyFont="1" applyFill="1" applyBorder="1" applyAlignment="1" applyProtection="1">
      <alignment horizontal="center" vertical="center" wrapText="1"/>
      <protection locked="0"/>
    </xf>
    <xf numFmtId="0" fontId="191" fillId="33" borderId="66" xfId="60" applyFont="1" applyFill="1" applyBorder="1" applyAlignment="1" applyProtection="1">
      <alignment horizontal="center"/>
      <protection/>
    </xf>
    <xf numFmtId="0" fontId="191" fillId="33" borderId="0" xfId="60" applyFont="1" applyFill="1" applyBorder="1" applyAlignment="1" applyProtection="1">
      <alignment horizontal="center"/>
      <protection/>
    </xf>
    <xf numFmtId="0" fontId="191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6" fillId="33" borderId="0" xfId="59" applyNumberFormat="1" applyFont="1" applyFill="1" applyBorder="1" applyAlignment="1" applyProtection="1">
      <alignment horizontal="center"/>
      <protection/>
    </xf>
    <xf numFmtId="0" fontId="189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1" fillId="33" borderId="119" xfId="60" applyFont="1" applyFill="1" applyBorder="1" applyAlignment="1" applyProtection="1">
      <alignment horizontal="center"/>
      <protection/>
    </xf>
    <xf numFmtId="0" fontId="191" fillId="33" borderId="126" xfId="60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/>
    </xf>
    <xf numFmtId="178" fontId="184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F59" sqref="F59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L129" sqref="L129:L13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350</v>
      </c>
      <c r="C1" s="642"/>
      <c r="D1" s="642"/>
      <c r="E1" s="642"/>
      <c r="F1" s="643"/>
      <c r="G1" s="467" t="s">
        <v>274</v>
      </c>
      <c r="H1" s="460"/>
      <c r="I1" s="633">
        <v>695317</v>
      </c>
      <c r="J1" s="634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МИНИСТЕРСТВО НА ЗДРАВЕОПАЗВАНЕТО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261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30.11.2017 г.</v>
      </c>
      <c r="G11" s="430">
        <f>+P5-1</f>
        <v>2016</v>
      </c>
      <c r="H11" s="15"/>
      <c r="I11" s="130" t="str">
        <f>+O8</f>
        <v>30.11.2017 г.</v>
      </c>
      <c r="J11" s="431">
        <f>+P5-1</f>
        <v>2016</v>
      </c>
      <c r="K11" s="16"/>
      <c r="L11" s="128" t="str">
        <f>+O8</f>
        <v>30.11.2017 г.</v>
      </c>
      <c r="M11" s="432">
        <f>+P5-1</f>
        <v>2016</v>
      </c>
      <c r="N11" s="16"/>
      <c r="O11" s="386" t="str">
        <f>+O8</f>
        <v>30.11.2017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26697030</v>
      </c>
      <c r="G16" s="260">
        <v>30428366</v>
      </c>
      <c r="H16" s="15"/>
      <c r="I16" s="261"/>
      <c r="J16" s="260"/>
      <c r="K16" s="256"/>
      <c r="L16" s="261"/>
      <c r="M16" s="260"/>
      <c r="N16" s="256"/>
      <c r="O16" s="393">
        <f t="shared" si="0"/>
        <v>26697030</v>
      </c>
      <c r="P16" s="446">
        <f t="shared" si="0"/>
        <v>30428366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1187950</v>
      </c>
      <c r="G17" s="260">
        <v>1502835</v>
      </c>
      <c r="H17" s="15"/>
      <c r="I17" s="261"/>
      <c r="J17" s="260"/>
      <c r="K17" s="256"/>
      <c r="L17" s="261"/>
      <c r="M17" s="260"/>
      <c r="N17" s="256"/>
      <c r="O17" s="393">
        <f t="shared" si="0"/>
        <v>1187950</v>
      </c>
      <c r="P17" s="446">
        <f t="shared" si="0"/>
        <v>1502835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4137792</v>
      </c>
      <c r="G18" s="260">
        <v>5190354</v>
      </c>
      <c r="H18" s="15"/>
      <c r="I18" s="261"/>
      <c r="J18" s="260"/>
      <c r="K18" s="256"/>
      <c r="L18" s="261"/>
      <c r="M18" s="260"/>
      <c r="N18" s="256"/>
      <c r="O18" s="393">
        <f t="shared" si="0"/>
        <v>4137792</v>
      </c>
      <c r="P18" s="446">
        <f t="shared" si="0"/>
        <v>5190354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331854</v>
      </c>
      <c r="G19" s="260">
        <v>332065</v>
      </c>
      <c r="H19" s="15"/>
      <c r="I19" s="261"/>
      <c r="J19" s="260"/>
      <c r="K19" s="256"/>
      <c r="L19" s="261"/>
      <c r="M19" s="260"/>
      <c r="N19" s="256"/>
      <c r="O19" s="393">
        <f t="shared" si="0"/>
        <v>331854</v>
      </c>
      <c r="P19" s="446">
        <f t="shared" si="0"/>
        <v>332065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0</v>
      </c>
      <c r="G20" s="260">
        <v>0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4</v>
      </c>
      <c r="G21" s="260">
        <v>-15</v>
      </c>
      <c r="H21" s="15"/>
      <c r="I21" s="261"/>
      <c r="J21" s="260"/>
      <c r="K21" s="256"/>
      <c r="L21" s="261"/>
      <c r="M21" s="260">
        <v>2</v>
      </c>
      <c r="N21" s="256"/>
      <c r="O21" s="393">
        <f t="shared" si="0"/>
        <v>4</v>
      </c>
      <c r="P21" s="446">
        <f t="shared" si="0"/>
        <v>-13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0</v>
      </c>
      <c r="G22" s="260">
        <v>5000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5000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33402</v>
      </c>
      <c r="G23" s="262">
        <v>39833</v>
      </c>
      <c r="H23" s="15"/>
      <c r="I23" s="263">
        <v>-104</v>
      </c>
      <c r="J23" s="262">
        <v>-510</v>
      </c>
      <c r="K23" s="256"/>
      <c r="L23" s="263"/>
      <c r="M23" s="262"/>
      <c r="N23" s="256"/>
      <c r="O23" s="394">
        <f t="shared" si="0"/>
        <v>33298</v>
      </c>
      <c r="P23" s="417">
        <f t="shared" si="0"/>
        <v>39323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32388032</v>
      </c>
      <c r="G24" s="264">
        <f>+ROUND(+SUM(G15:G23),0)</f>
        <v>37498438</v>
      </c>
      <c r="H24" s="15"/>
      <c r="I24" s="265">
        <f>+ROUND(+SUM(I15:I23),0)</f>
        <v>-104</v>
      </c>
      <c r="J24" s="264">
        <f>+ROUND(+SUM(J15:J23),0)</f>
        <v>-510</v>
      </c>
      <c r="K24" s="256"/>
      <c r="L24" s="265">
        <f>+ROUND(+SUM(L15:L23),0)</f>
        <v>0</v>
      </c>
      <c r="M24" s="264">
        <f>+ROUND(+SUM(M15:M23),0)</f>
        <v>2</v>
      </c>
      <c r="N24" s="256"/>
      <c r="O24" s="395">
        <f>+ROUND(+SUM(O15:O23),0)</f>
        <v>32387928</v>
      </c>
      <c r="P24" s="396">
        <f>+ROUND(+SUM(P15:P23),0)</f>
        <v>37497930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8779</v>
      </c>
      <c r="G27" s="260">
        <v>6272</v>
      </c>
      <c r="H27" s="15"/>
      <c r="I27" s="261"/>
      <c r="J27" s="260"/>
      <c r="K27" s="256"/>
      <c r="L27" s="261"/>
      <c r="M27" s="260"/>
      <c r="N27" s="256"/>
      <c r="O27" s="393">
        <f t="shared" si="1"/>
        <v>8779</v>
      </c>
      <c r="P27" s="446">
        <f t="shared" si="1"/>
        <v>6272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8779</v>
      </c>
      <c r="G29" s="264">
        <f>+ROUND(+SUM(G26:G28),0)</f>
        <v>6272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8779</v>
      </c>
      <c r="P29" s="396">
        <f>+ROUND(+SUM(P26:P28),0)</f>
        <v>6272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-310885</v>
      </c>
      <c r="G36" s="276">
        <v>-351109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-310885</v>
      </c>
      <c r="P36" s="396">
        <f t="shared" si="2"/>
        <v>-351109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-6550</v>
      </c>
      <c r="G37" s="278">
        <v>-14241</v>
      </c>
      <c r="H37" s="15"/>
      <c r="I37" s="279"/>
      <c r="J37" s="278"/>
      <c r="K37" s="256"/>
      <c r="L37" s="279"/>
      <c r="M37" s="278"/>
      <c r="N37" s="256"/>
      <c r="O37" s="408">
        <f t="shared" si="2"/>
        <v>-6550</v>
      </c>
      <c r="P37" s="447">
        <f t="shared" si="2"/>
        <v>-14241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-45339</v>
      </c>
      <c r="G38" s="280">
        <v>-79007</v>
      </c>
      <c r="H38" s="15"/>
      <c r="I38" s="281"/>
      <c r="J38" s="280"/>
      <c r="K38" s="256"/>
      <c r="L38" s="281"/>
      <c r="M38" s="280"/>
      <c r="N38" s="256"/>
      <c r="O38" s="409">
        <f t="shared" si="2"/>
        <v>-45339</v>
      </c>
      <c r="P38" s="448">
        <f t="shared" si="2"/>
        <v>-79007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19117</v>
      </c>
      <c r="G41" s="276">
        <v>10297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19117</v>
      </c>
      <c r="P41" s="396">
        <f>+ROUND(+G41+J41+M41,0)</f>
        <v>10297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1647</v>
      </c>
      <c r="G43" s="258">
        <v>-5724</v>
      </c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1647</v>
      </c>
      <c r="P43" s="411">
        <f t="shared" si="3"/>
        <v>-5724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2889293</v>
      </c>
      <c r="G44" s="260">
        <v>2983921</v>
      </c>
      <c r="H44" s="15"/>
      <c r="I44" s="261">
        <v>235564</v>
      </c>
      <c r="J44" s="260">
        <v>479350</v>
      </c>
      <c r="K44" s="256"/>
      <c r="L44" s="261"/>
      <c r="M44" s="260"/>
      <c r="N44" s="256"/>
      <c r="O44" s="393">
        <f t="shared" si="3"/>
        <v>3124857</v>
      </c>
      <c r="P44" s="446">
        <f t="shared" si="3"/>
        <v>3463271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>
        <v>0</v>
      </c>
      <c r="G45" s="260">
        <v>0</v>
      </c>
      <c r="H45" s="15"/>
      <c r="I45" s="261">
        <v>278713</v>
      </c>
      <c r="J45" s="260">
        <v>118885</v>
      </c>
      <c r="K45" s="256"/>
      <c r="L45" s="261"/>
      <c r="M45" s="260"/>
      <c r="N45" s="256"/>
      <c r="O45" s="393">
        <f t="shared" si="3"/>
        <v>278713</v>
      </c>
      <c r="P45" s="446">
        <f t="shared" si="3"/>
        <v>118885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314111</v>
      </c>
      <c r="G46" s="262">
        <v>242863</v>
      </c>
      <c r="H46" s="15"/>
      <c r="I46" s="263">
        <v>0</v>
      </c>
      <c r="J46" s="262"/>
      <c r="K46" s="256"/>
      <c r="L46" s="263"/>
      <c r="M46" s="262"/>
      <c r="N46" s="256"/>
      <c r="O46" s="394">
        <f t="shared" si="3"/>
        <v>314111</v>
      </c>
      <c r="P46" s="417">
        <f t="shared" si="3"/>
        <v>242863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3205051</v>
      </c>
      <c r="G47" s="264">
        <f>+ROUND(+SUM(G43:G46),0)</f>
        <v>3221060</v>
      </c>
      <c r="H47" s="15"/>
      <c r="I47" s="265">
        <f>+ROUND(+SUM(I43:I46),0)</f>
        <v>514277</v>
      </c>
      <c r="J47" s="264">
        <f>+ROUND(+SUM(J43:J46),0)</f>
        <v>598235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3719328</v>
      </c>
      <c r="P47" s="396">
        <f>+ROUND(+SUM(P43:P46),0)</f>
        <v>3819295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35310094</v>
      </c>
      <c r="G49" s="286">
        <f>+ROUND(G24+G29+G36+G41+G47,0)</f>
        <v>40384958</v>
      </c>
      <c r="H49" s="15"/>
      <c r="I49" s="287">
        <f>+ROUND(I24+I29+I36+I41+I47,0)</f>
        <v>514173</v>
      </c>
      <c r="J49" s="286">
        <f>+ROUND(J24+J29+J36+J41+J47,0)</f>
        <v>597725</v>
      </c>
      <c r="K49" s="256"/>
      <c r="L49" s="287">
        <f>+ROUND(L24+L29+L36+L41+L47,0)</f>
        <v>0</v>
      </c>
      <c r="M49" s="286">
        <f>+ROUND(M24+M29+M36+M41+M47,0)</f>
        <v>2</v>
      </c>
      <c r="N49" s="256"/>
      <c r="O49" s="412">
        <f>+ROUND(O24+O29+O36+O41+O47,0)</f>
        <v>35824267</v>
      </c>
      <c r="P49" s="413">
        <f>+ROUND(P24+P29+P36+P41+P47,0)</f>
        <v>40982685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111125126</v>
      </c>
      <c r="G52" s="288">
        <v>126524928</v>
      </c>
      <c r="H52" s="15"/>
      <c r="I52" s="289">
        <v>1588186</v>
      </c>
      <c r="J52" s="288">
        <v>1612759</v>
      </c>
      <c r="K52" s="256"/>
      <c r="L52" s="289"/>
      <c r="M52" s="288"/>
      <c r="N52" s="256"/>
      <c r="O52" s="399">
        <f aca="true" t="shared" si="4" ref="O52:P56">+ROUND(+F52+I52+L52,0)</f>
        <v>112713312</v>
      </c>
      <c r="P52" s="392">
        <f t="shared" si="4"/>
        <v>128137687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1247643</v>
      </c>
      <c r="G53" s="262">
        <v>2368321</v>
      </c>
      <c r="H53" s="15"/>
      <c r="I53" s="263">
        <v>268</v>
      </c>
      <c r="J53" s="262">
        <v>322</v>
      </c>
      <c r="K53" s="256"/>
      <c r="L53" s="263"/>
      <c r="M53" s="262"/>
      <c r="N53" s="256"/>
      <c r="O53" s="394">
        <f t="shared" si="4"/>
        <v>1247911</v>
      </c>
      <c r="P53" s="417">
        <f t="shared" si="4"/>
        <v>2368643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790215</v>
      </c>
      <c r="G54" s="262">
        <v>1759417</v>
      </c>
      <c r="H54" s="15"/>
      <c r="I54" s="263">
        <v>0</v>
      </c>
      <c r="J54" s="262"/>
      <c r="K54" s="256"/>
      <c r="L54" s="263"/>
      <c r="M54" s="262"/>
      <c r="N54" s="256"/>
      <c r="O54" s="394">
        <f t="shared" si="4"/>
        <v>790215</v>
      </c>
      <c r="P54" s="417">
        <f t="shared" si="4"/>
        <v>1759417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154595657</v>
      </c>
      <c r="G55" s="262">
        <v>162158284</v>
      </c>
      <c r="H55" s="15"/>
      <c r="I55" s="263">
        <v>581696</v>
      </c>
      <c r="J55" s="262">
        <v>479133</v>
      </c>
      <c r="K55" s="256"/>
      <c r="L55" s="263"/>
      <c r="M55" s="262"/>
      <c r="N55" s="256"/>
      <c r="O55" s="394">
        <f t="shared" si="4"/>
        <v>155177353</v>
      </c>
      <c r="P55" s="417">
        <f t="shared" si="4"/>
        <v>162637417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30342872</v>
      </c>
      <c r="G56" s="262">
        <v>30907579</v>
      </c>
      <c r="H56" s="15"/>
      <c r="I56" s="263">
        <v>50737</v>
      </c>
      <c r="J56" s="262">
        <v>36236</v>
      </c>
      <c r="K56" s="256"/>
      <c r="L56" s="263"/>
      <c r="M56" s="262"/>
      <c r="N56" s="256"/>
      <c r="O56" s="394">
        <f t="shared" si="4"/>
        <v>30393609</v>
      </c>
      <c r="P56" s="417">
        <f t="shared" si="4"/>
        <v>30943815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298101513</v>
      </c>
      <c r="G57" s="290">
        <f>+ROUND(+SUM(G52:G56),0)</f>
        <v>323718529</v>
      </c>
      <c r="H57" s="15"/>
      <c r="I57" s="291">
        <f>+ROUND(+SUM(I52:I56),0)</f>
        <v>2220887</v>
      </c>
      <c r="J57" s="290">
        <f>+ROUND(+SUM(J52:J56),0)</f>
        <v>2128450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300322400</v>
      </c>
      <c r="P57" s="415">
        <f>+ROUND(+SUM(P52:P56),0)</f>
        <v>325846979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748165</v>
      </c>
      <c r="G60" s="262">
        <v>2382410</v>
      </c>
      <c r="H60" s="15"/>
      <c r="I60" s="263">
        <v>5982544</v>
      </c>
      <c r="J60" s="262">
        <v>3742540</v>
      </c>
      <c r="K60" s="256"/>
      <c r="L60" s="263"/>
      <c r="M60" s="262"/>
      <c r="N60" s="256"/>
      <c r="O60" s="394">
        <f t="shared" si="5"/>
        <v>6730709</v>
      </c>
      <c r="P60" s="417">
        <f t="shared" si="5"/>
        <v>6124950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194160</v>
      </c>
      <c r="G61" s="262">
        <v>584500</v>
      </c>
      <c r="H61" s="15"/>
      <c r="I61" s="263">
        <v>72336</v>
      </c>
      <c r="J61" s="262">
        <v>315037</v>
      </c>
      <c r="K61" s="256"/>
      <c r="L61" s="263"/>
      <c r="M61" s="262"/>
      <c r="N61" s="256"/>
      <c r="O61" s="394">
        <f t="shared" si="5"/>
        <v>266496</v>
      </c>
      <c r="P61" s="417">
        <f t="shared" si="5"/>
        <v>899537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942325</v>
      </c>
      <c r="G64" s="290">
        <f>+ROUND(+SUM(G59:G62),0)</f>
        <v>2966910</v>
      </c>
      <c r="H64" s="15"/>
      <c r="I64" s="291">
        <f>+ROUND(+SUM(I59:I62),0)</f>
        <v>6054880</v>
      </c>
      <c r="J64" s="290">
        <f>+ROUND(+SUM(J59:J62),0)</f>
        <v>4057577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6997205</v>
      </c>
      <c r="P64" s="415">
        <f>+ROUND(+SUM(P59:P62),0)</f>
        <v>7024487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38582</v>
      </c>
      <c r="G66" s="288">
        <v>140430</v>
      </c>
      <c r="H66" s="15"/>
      <c r="I66" s="289"/>
      <c r="J66" s="288"/>
      <c r="K66" s="256"/>
      <c r="L66" s="289"/>
      <c r="M66" s="288"/>
      <c r="N66" s="256"/>
      <c r="O66" s="399">
        <f>+ROUND(+F66+I66+L66,0)</f>
        <v>38582</v>
      </c>
      <c r="P66" s="392">
        <f>+ROUND(+G66+J66+M66,0)</f>
        <v>140430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>
        <v>1</v>
      </c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1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38583</v>
      </c>
      <c r="G68" s="290">
        <f>+ROUND(+SUM(G66:G67),0)</f>
        <v>140430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38583</v>
      </c>
      <c r="P68" s="415">
        <f>+ROUND(+SUM(P66:P67),0)</f>
        <v>140430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19520939</v>
      </c>
      <c r="G70" s="288">
        <v>23309258</v>
      </c>
      <c r="H70" s="15"/>
      <c r="I70" s="289">
        <v>296506</v>
      </c>
      <c r="J70" s="288">
        <v>13225</v>
      </c>
      <c r="K70" s="256"/>
      <c r="L70" s="289"/>
      <c r="M70" s="288"/>
      <c r="N70" s="256"/>
      <c r="O70" s="399">
        <f>+ROUND(+F70+I70+L70,0)</f>
        <v>19817445</v>
      </c>
      <c r="P70" s="392">
        <f>+ROUND(+G70+J70+M70,0)</f>
        <v>23322483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19520939</v>
      </c>
      <c r="G72" s="290">
        <f>+ROUND(+SUM(G70:G71),0)</f>
        <v>23309258</v>
      </c>
      <c r="H72" s="15"/>
      <c r="I72" s="291">
        <f>+ROUND(+SUM(I70:I71),0)</f>
        <v>296506</v>
      </c>
      <c r="J72" s="290">
        <f>+ROUND(+SUM(J70:J71),0)</f>
        <v>13225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19817445</v>
      </c>
      <c r="P72" s="415">
        <f>+ROUND(+SUM(P70:P71),0)</f>
        <v>23322483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92989515</v>
      </c>
      <c r="G74" s="288">
        <v>87216808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92989515</v>
      </c>
      <c r="P74" s="392">
        <f>+ROUND(+G74+J74+M74,0)</f>
        <v>87216808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11696033</v>
      </c>
      <c r="G75" s="262">
        <v>21024635</v>
      </c>
      <c r="H75" s="15"/>
      <c r="I75" s="263"/>
      <c r="J75" s="262"/>
      <c r="K75" s="256"/>
      <c r="L75" s="263"/>
      <c r="M75" s="262"/>
      <c r="N75" s="256"/>
      <c r="O75" s="394">
        <f>+ROUND(+F75+I75+L75,0)</f>
        <v>11696033</v>
      </c>
      <c r="P75" s="417">
        <f>+ROUND(+G75+J75+M75,0)</f>
        <v>21024635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104685548</v>
      </c>
      <c r="G76" s="290">
        <f>+ROUND(+SUM(G74:G75),0)</f>
        <v>108241443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104685548</v>
      </c>
      <c r="P76" s="415">
        <f>+ROUND(+SUM(P74:P75),0)</f>
        <v>108241443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423288908</v>
      </c>
      <c r="G78" s="301">
        <f>+ROUND(G57+G64+G68+G72+G76,0)</f>
        <v>458376570</v>
      </c>
      <c r="H78" s="15"/>
      <c r="I78" s="298">
        <f>+ROUND(I57+I64+I68+I72+I76,0)</f>
        <v>8572273</v>
      </c>
      <c r="J78" s="301">
        <f>+ROUND(J57+J64+J68+J72+J76,0)</f>
        <v>6199252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431861181</v>
      </c>
      <c r="P78" s="425">
        <f>+ROUND(P57+P64+P68+P72+P76,0)</f>
        <v>464575822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390536787</v>
      </c>
      <c r="G80" s="258">
        <v>390219996</v>
      </c>
      <c r="H80" s="15"/>
      <c r="I80" s="259">
        <v>10444579</v>
      </c>
      <c r="J80" s="258">
        <v>46642879</v>
      </c>
      <c r="K80" s="256"/>
      <c r="L80" s="259"/>
      <c r="M80" s="258"/>
      <c r="N80" s="256"/>
      <c r="O80" s="398">
        <f>+ROUND(+F80+I80+L80,0)</f>
        <v>400981366</v>
      </c>
      <c r="P80" s="411">
        <f>+ROUND(+G80+J80+M80,0)</f>
        <v>436862875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-35765610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-35765610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390536787</v>
      </c>
      <c r="G82" s="299">
        <f>+ROUND(G80+G81,0)</f>
        <v>390219996</v>
      </c>
      <c r="H82" s="15"/>
      <c r="I82" s="300">
        <f>+ROUND(I80+I81,0)</f>
        <v>10444579</v>
      </c>
      <c r="J82" s="299">
        <f>+ROUND(J80+J81,0)</f>
        <v>10877269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400981366</v>
      </c>
      <c r="P82" s="420">
        <f>+ROUND(P80+P81,0)</f>
        <v>401097265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2557973</v>
      </c>
      <c r="G84" s="320">
        <f>+ROUND(G49,0)-ROUND(G78,0)+ROUND(G82,0)</f>
        <v>-27771616</v>
      </c>
      <c r="H84" s="15"/>
      <c r="I84" s="321">
        <f>+ROUND(I49,0)-ROUND(I78,0)+ROUND(I82,0)</f>
        <v>2386479</v>
      </c>
      <c r="J84" s="320">
        <f>+ROUND(J49,0)-ROUND(J78,0)+ROUND(J82,0)</f>
        <v>5275742</v>
      </c>
      <c r="K84" s="256"/>
      <c r="L84" s="321">
        <f>+ROUND(L49,0)-ROUND(L78,0)+ROUND(L82,0)</f>
        <v>0</v>
      </c>
      <c r="M84" s="320">
        <f>+ROUND(M49,0)-ROUND(M78,0)+ROUND(M82,0)</f>
        <v>2</v>
      </c>
      <c r="N84" s="256"/>
      <c r="O84" s="421">
        <f>+ROUND(O49,0)-ROUND(O78,0)+ROUND(O82,0)</f>
        <v>4944452</v>
      </c>
      <c r="P84" s="422">
        <f>+ROUND(P49,0)-ROUND(P78,0)+ROUND(P82,0)</f>
        <v>-22495872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-2557973</v>
      </c>
      <c r="G85" s="322">
        <f>+ROUND(G102,0)+ROUND(G121,0)+ROUND(G127,0)-ROUND(G132,0)</f>
        <v>27771616</v>
      </c>
      <c r="H85" s="15"/>
      <c r="I85" s="323">
        <f>+ROUND(I102,0)+ROUND(I121,0)+ROUND(I127,0)-ROUND(I132,0)</f>
        <v>-2386479</v>
      </c>
      <c r="J85" s="322">
        <f>+ROUND(J102,0)+ROUND(J121,0)+ROUND(J127,0)-ROUND(J132,0)</f>
        <v>-5275742</v>
      </c>
      <c r="K85" s="256"/>
      <c r="L85" s="323">
        <f>+ROUND(L102,0)+ROUND(L121,0)+ROUND(L127,0)-ROUND(L132,0)</f>
        <v>0</v>
      </c>
      <c r="M85" s="322">
        <f>+ROUND(M102,0)+ROUND(M121,0)+ROUND(M127,0)-ROUND(M132,0)</f>
        <v>-2</v>
      </c>
      <c r="N85" s="256"/>
      <c r="O85" s="423">
        <f>+ROUND(O102,0)+ROUND(O121,0)+ROUND(O127,0)-ROUND(O132,0)</f>
        <v>-4944452</v>
      </c>
      <c r="P85" s="424">
        <f>+ROUND(P102,0)+ROUND(P121,0)+ROUND(P127,0)-ROUND(P132,0)</f>
        <v>22495872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>
        <v>8599</v>
      </c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8599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8599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8599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648148</v>
      </c>
      <c r="G93" s="262">
        <v>261111</v>
      </c>
      <c r="H93" s="15"/>
      <c r="I93" s="263"/>
      <c r="J93" s="262"/>
      <c r="K93" s="256"/>
      <c r="L93" s="263"/>
      <c r="M93" s="262"/>
      <c r="N93" s="256"/>
      <c r="O93" s="394">
        <f t="shared" si="6"/>
        <v>648148</v>
      </c>
      <c r="P93" s="417">
        <f t="shared" si="6"/>
        <v>261111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648148</v>
      </c>
      <c r="G96" s="264">
        <f>+ROUND(+SUM(G92:G95),0)</f>
        <v>261111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648148</v>
      </c>
      <c r="P96" s="396">
        <f>+ROUND(+SUM(P92:P95),0)</f>
        <v>261111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2687</v>
      </c>
      <c r="G99" s="262">
        <v>7287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2687</v>
      </c>
      <c r="P99" s="417">
        <f>+ROUND(+G99+J99+M99,0)</f>
        <v>7287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2687</v>
      </c>
      <c r="G100" s="264">
        <f>+ROUND(+SUM(G98:G99),0)</f>
        <v>7287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2687</v>
      </c>
      <c r="P100" s="396">
        <f>+ROUND(+SUM(P98:P99),0)</f>
        <v>7287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650835</v>
      </c>
      <c r="G102" s="286">
        <f>+ROUND(G90+G96+G100,0)</f>
        <v>276997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650835</v>
      </c>
      <c r="P102" s="413">
        <f>+ROUND(P90+P96+P100,0)</f>
        <v>276997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-5389840</v>
      </c>
      <c r="G110" s="262">
        <v>-12656027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-5389840</v>
      </c>
      <c r="P110" s="417">
        <f>+ROUND(+G110+J110+M110,0)</f>
        <v>-12656027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-5389840</v>
      </c>
      <c r="G111" s="290">
        <f>+ROUND(+SUM(G109:G110),0)</f>
        <v>-12656027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-5389840</v>
      </c>
      <c r="P111" s="415">
        <f>+ROUND(+SUM(P109:P110),0)</f>
        <v>-12656027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-41662</v>
      </c>
      <c r="G117" s="288">
        <v>-82103</v>
      </c>
      <c r="H117" s="15"/>
      <c r="I117" s="289"/>
      <c r="J117" s="288">
        <v>-26876</v>
      </c>
      <c r="K117" s="256"/>
      <c r="L117" s="289">
        <v>-355568</v>
      </c>
      <c r="M117" s="288">
        <v>-389631</v>
      </c>
      <c r="N117" s="256"/>
      <c r="O117" s="399">
        <f>+ROUND(+F117+I117+L117,0)</f>
        <v>-397230</v>
      </c>
      <c r="P117" s="392">
        <f>+ROUND(+G117+J117+M117,0)</f>
        <v>-498610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5291</v>
      </c>
      <c r="G118" s="262">
        <v>-1473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5291</v>
      </c>
      <c r="P118" s="417">
        <f>+ROUND(+G118+J118+M118,0)</f>
        <v>-1473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-36371</v>
      </c>
      <c r="G119" s="290">
        <f>+ROUND(+SUM(G117:G118),0)</f>
        <v>-83576</v>
      </c>
      <c r="H119" s="15"/>
      <c r="I119" s="291">
        <f>+ROUND(+SUM(I117:I118),0)</f>
        <v>0</v>
      </c>
      <c r="J119" s="290">
        <f>+ROUND(+SUM(J117:J118),0)</f>
        <v>-26876</v>
      </c>
      <c r="K119" s="256"/>
      <c r="L119" s="291">
        <f>+ROUND(+SUM(L117:L118),0)</f>
        <v>-355568</v>
      </c>
      <c r="M119" s="290">
        <f>+ROUND(+SUM(M117:M118),0)</f>
        <v>-389631</v>
      </c>
      <c r="N119" s="256"/>
      <c r="O119" s="414">
        <f>+ROUND(+SUM(O117:O118),0)</f>
        <v>-391939</v>
      </c>
      <c r="P119" s="415">
        <f>+ROUND(+SUM(P117:P118),0)</f>
        <v>-500083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-5426211</v>
      </c>
      <c r="G121" s="301">
        <f>+ROUND(G107+G111+G115+G119,0)</f>
        <v>-12739603</v>
      </c>
      <c r="H121" s="15"/>
      <c r="I121" s="298">
        <f>+ROUND(I107+I111+I115+I119,0)</f>
        <v>0</v>
      </c>
      <c r="J121" s="301">
        <f>+ROUND(J107+J111+J115+J119,0)</f>
        <v>-26876</v>
      </c>
      <c r="K121" s="256"/>
      <c r="L121" s="298">
        <f>+ROUND(L107+L111+L115+L119,0)</f>
        <v>-355568</v>
      </c>
      <c r="M121" s="301">
        <f>+ROUND(M107+M111+M115+M119,0)</f>
        <v>-389631</v>
      </c>
      <c r="N121" s="256"/>
      <c r="O121" s="418">
        <f>+ROUND(O107+O111+O115+O119,0)</f>
        <v>-5781779</v>
      </c>
      <c r="P121" s="425">
        <f>+ROUND(P107+P111+P115+P119,0)</f>
        <v>-13156110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2671567</v>
      </c>
      <c r="G124" s="262">
        <v>39175302</v>
      </c>
      <c r="H124" s="15"/>
      <c r="I124" s="263">
        <v>-2414595</v>
      </c>
      <c r="J124" s="262">
        <v>-5268655</v>
      </c>
      <c r="K124" s="256"/>
      <c r="L124" s="263"/>
      <c r="M124" s="262"/>
      <c r="N124" s="256"/>
      <c r="O124" s="394">
        <f t="shared" si="7"/>
        <v>256972</v>
      </c>
      <c r="P124" s="417">
        <f t="shared" si="7"/>
        <v>33906647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-412215</v>
      </c>
      <c r="G125" s="262">
        <v>-13289</v>
      </c>
      <c r="H125" s="15"/>
      <c r="I125" s="263">
        <v>49233</v>
      </c>
      <c r="J125" s="262">
        <v>13289</v>
      </c>
      <c r="K125" s="256"/>
      <c r="L125" s="263"/>
      <c r="M125" s="262"/>
      <c r="N125" s="256"/>
      <c r="O125" s="394">
        <f t="shared" si="7"/>
        <v>-362982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2259352</v>
      </c>
      <c r="G127" s="299">
        <f>+ROUND(+SUM(G123:G126),0)</f>
        <v>39162013</v>
      </c>
      <c r="H127" s="15"/>
      <c r="I127" s="300">
        <f>+ROUND(+SUM(I123:I126),0)</f>
        <v>-2365362</v>
      </c>
      <c r="J127" s="299">
        <f>+ROUND(+SUM(J123:J126),0)</f>
        <v>-5255366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-106010</v>
      </c>
      <c r="P127" s="420">
        <f>+ROUND(+SUM(P123:P126),0)</f>
        <v>33906647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3214939</v>
      </c>
      <c r="G129" s="258">
        <v>4277562</v>
      </c>
      <c r="H129" s="15"/>
      <c r="I129" s="259"/>
      <c r="J129" s="258"/>
      <c r="K129" s="256"/>
      <c r="L129" s="259">
        <v>1582619</v>
      </c>
      <c r="M129" s="258">
        <v>1972248</v>
      </c>
      <c r="N129" s="256"/>
      <c r="O129" s="398">
        <f aca="true" t="shared" si="8" ref="O129:P131">+ROUND(+F129+I129+L129,0)</f>
        <v>4797558</v>
      </c>
      <c r="P129" s="411">
        <f t="shared" si="8"/>
        <v>6249810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-30593</v>
      </c>
      <c r="G130" s="262">
        <v>9584</v>
      </c>
      <c r="H130" s="15"/>
      <c r="I130" s="263">
        <v>-21117</v>
      </c>
      <c r="J130" s="262">
        <v>6500</v>
      </c>
      <c r="K130" s="256"/>
      <c r="L130" s="263">
        <v>0</v>
      </c>
      <c r="M130" s="262"/>
      <c r="N130" s="256"/>
      <c r="O130" s="394">
        <f t="shared" si="8"/>
        <v>-51710</v>
      </c>
      <c r="P130" s="417">
        <f t="shared" si="8"/>
        <v>16084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3226295</v>
      </c>
      <c r="G131" s="262">
        <v>3214937</v>
      </c>
      <c r="H131" s="15"/>
      <c r="I131" s="263"/>
      <c r="J131" s="262"/>
      <c r="K131" s="256"/>
      <c r="L131" s="263">
        <v>1227051</v>
      </c>
      <c r="M131" s="262">
        <v>1582619</v>
      </c>
      <c r="N131" s="256"/>
      <c r="O131" s="394">
        <f t="shared" si="8"/>
        <v>4453346</v>
      </c>
      <c r="P131" s="417">
        <f t="shared" si="8"/>
        <v>4797556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41949</v>
      </c>
      <c r="G132" s="304">
        <f>+ROUND(+G131-G129-G130,0)</f>
        <v>-1072209</v>
      </c>
      <c r="H132" s="15"/>
      <c r="I132" s="305">
        <f>+ROUND(+I131-I129-I130,0)</f>
        <v>21117</v>
      </c>
      <c r="J132" s="304">
        <f>+ROUND(+J131-J129-J130,0)</f>
        <v>-6500</v>
      </c>
      <c r="K132" s="256"/>
      <c r="L132" s="305">
        <f>+ROUND(+L131-L129-L130,0)</f>
        <v>-355568</v>
      </c>
      <c r="M132" s="304">
        <f>+ROUND(+M131-M129-M130,0)</f>
        <v>-389629</v>
      </c>
      <c r="N132" s="256"/>
      <c r="O132" s="428">
        <f>+ROUND(+O131-O129-O130,0)</f>
        <v>-292502</v>
      </c>
      <c r="P132" s="429">
        <f>+ROUND(+P131-P129-P130,0)</f>
        <v>-1468338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/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/>
      <c r="G141" s="645"/>
      <c r="H141" s="645"/>
      <c r="I141" s="646"/>
      <c r="J141" s="378"/>
      <c r="K141" s="16"/>
      <c r="L141" s="378" t="s">
        <v>250</v>
      </c>
      <c r="M141" s="644"/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31 K12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="80" zoomScaleNormal="8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МИНИСТЕРСТВО НА ЗДРАВЕОПАЗВАНЕТО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695317</v>
      </c>
      <c r="J1" s="668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МИНИСТЕРСТВО НА ЗДРАВЕОПАЗВАНЕТО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30.11.2017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30.11.2017 г.</v>
      </c>
      <c r="G11" s="430">
        <f>+'Cash-Flow-2017-Leva'!G11</f>
        <v>2016</v>
      </c>
      <c r="H11" s="5"/>
      <c r="I11" s="130" t="str">
        <f>+O8</f>
        <v>30.11.2017 г.</v>
      </c>
      <c r="J11" s="431">
        <f>+'Cash-Flow-2017-Leva'!J11</f>
        <v>2016</v>
      </c>
      <c r="K11" s="5"/>
      <c r="L11" s="128" t="str">
        <f>+O8</f>
        <v>30.11.2017 г.</v>
      </c>
      <c r="M11" s="432">
        <f>+'Cash-Flow-2017-Leva'!M11</f>
        <v>2016</v>
      </c>
      <c r="N11" s="511"/>
      <c r="O11" s="386" t="str">
        <f>+O8</f>
        <v>30.11.2017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26697.03</v>
      </c>
      <c r="G16" s="307">
        <f>+'Cash-Flow-2017-Leva'!G16/1000</f>
        <v>30428.366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26697.03</v>
      </c>
      <c r="P16" s="446">
        <f t="shared" si="1"/>
        <v>30428.366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1187.95</v>
      </c>
      <c r="G17" s="307">
        <f>+'Cash-Flow-2017-Leva'!G17/1000</f>
        <v>1502.835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1187.95</v>
      </c>
      <c r="P17" s="446">
        <f t="shared" si="1"/>
        <v>1502.835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4137.792</v>
      </c>
      <c r="G18" s="307">
        <f>+'Cash-Flow-2017-Leva'!G18/1000</f>
        <v>5190.354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4137.792</v>
      </c>
      <c r="P18" s="446">
        <f t="shared" si="1"/>
        <v>5190.354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331.854</v>
      </c>
      <c r="G19" s="307">
        <f>+'Cash-Flow-2017-Leva'!G19/1000</f>
        <v>332.065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331.854</v>
      </c>
      <c r="P19" s="446">
        <f t="shared" si="1"/>
        <v>332.065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0.004</v>
      </c>
      <c r="G21" s="307">
        <f>+'Cash-Flow-2017-Leva'!G21/1000</f>
        <v>-0.015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0.002</v>
      </c>
      <c r="N21" s="512"/>
      <c r="O21" s="393">
        <f t="shared" si="0"/>
        <v>0.004</v>
      </c>
      <c r="P21" s="446">
        <f t="shared" si="1"/>
        <v>-0.013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33.402</v>
      </c>
      <c r="G23" s="296">
        <f>+'Cash-Flow-2017-Leva'!G23/1000</f>
        <v>39.833</v>
      </c>
      <c r="H23" s="306"/>
      <c r="I23" s="297">
        <f>+'Cash-Flow-2017-Leva'!I23/1000</f>
        <v>-0.104</v>
      </c>
      <c r="J23" s="296">
        <f>+'Cash-Flow-2017-Leva'!J23/1000</f>
        <v>-0.51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33.298</v>
      </c>
      <c r="P23" s="417">
        <f t="shared" si="1"/>
        <v>39.323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32388.032</v>
      </c>
      <c r="G24" s="264">
        <f>+SUM(G15:G23)</f>
        <v>37498.438</v>
      </c>
      <c r="H24" s="306"/>
      <c r="I24" s="265">
        <f>+SUM(I15:I23)</f>
        <v>-0.104</v>
      </c>
      <c r="J24" s="264">
        <f>+SUM(J15:J23)</f>
        <v>-0.51</v>
      </c>
      <c r="K24" s="306"/>
      <c r="L24" s="265">
        <f>+SUM(L15:L23)</f>
        <v>0</v>
      </c>
      <c r="M24" s="264">
        <f>+SUM(M15:M23)</f>
        <v>0.002</v>
      </c>
      <c r="N24" s="512"/>
      <c r="O24" s="395">
        <f>+SUM(O15:O23)</f>
        <v>32387.928</v>
      </c>
      <c r="P24" s="396">
        <f>+SUM(P15:P23)</f>
        <v>37497.93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8.779</v>
      </c>
      <c r="G27" s="307">
        <f>+'Cash-Flow-2017-Leva'!G27/1000</f>
        <v>6.272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8.779</v>
      </c>
      <c r="P27" s="446">
        <f t="shared" si="2"/>
        <v>6.272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8.779</v>
      </c>
      <c r="G29" s="264">
        <f>+SUM(G26:G28)</f>
        <v>6.272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8.779</v>
      </c>
      <c r="P29" s="396">
        <f>+SUM(P26:P28)</f>
        <v>6.272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-310.885</v>
      </c>
      <c r="G36" s="264">
        <f>+'Cash-Flow-2017-Leva'!G36/1000</f>
        <v>-351.109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-310.885</v>
      </c>
      <c r="P36" s="396">
        <f t="shared" si="3"/>
        <v>-351.109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-6.55</v>
      </c>
      <c r="G37" s="309">
        <f>+'Cash-Flow-2017-Leva'!G37/1000</f>
        <v>-14.241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-6.55</v>
      </c>
      <c r="P37" s="447">
        <f t="shared" si="3"/>
        <v>-14.241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-45.339</v>
      </c>
      <c r="G38" s="311">
        <f>+'Cash-Flow-2017-Leva'!G38/1000</f>
        <v>-79.007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-45.339</v>
      </c>
      <c r="P38" s="448">
        <f t="shared" si="3"/>
        <v>-79.007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19.117</v>
      </c>
      <c r="G41" s="264">
        <f>+'Cash-Flow-2017-Leva'!G41/1000</f>
        <v>10.297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19.117</v>
      </c>
      <c r="P41" s="396">
        <f>+G41+J41+M41</f>
        <v>10.297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1.647</v>
      </c>
      <c r="G43" s="284">
        <f>+'Cash-Flow-2017-Leva'!G43/1000</f>
        <v>-5.724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1.647</v>
      </c>
      <c r="P43" s="411">
        <f t="shared" si="4"/>
        <v>-5.724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2889.293</v>
      </c>
      <c r="G44" s="307">
        <f>+'Cash-Flow-2017-Leva'!G44/1000</f>
        <v>2983.921</v>
      </c>
      <c r="H44" s="306"/>
      <c r="I44" s="308">
        <f>+'Cash-Flow-2017-Leva'!I44/1000</f>
        <v>235.564</v>
      </c>
      <c r="J44" s="307">
        <f>+'Cash-Flow-2017-Leva'!J44/1000</f>
        <v>479.35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3124.857</v>
      </c>
      <c r="P44" s="446">
        <f t="shared" si="4"/>
        <v>3463.2709999999997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278.713</v>
      </c>
      <c r="J45" s="307">
        <f>+'Cash-Flow-2017-Leva'!J45/1000</f>
        <v>118.885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278.713</v>
      </c>
      <c r="P45" s="446">
        <f t="shared" si="4"/>
        <v>118.885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314.111</v>
      </c>
      <c r="G46" s="296">
        <f>+'Cash-Flow-2017-Leva'!G46/1000</f>
        <v>242.863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314.111</v>
      </c>
      <c r="P46" s="417">
        <f t="shared" si="4"/>
        <v>242.863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3205.051</v>
      </c>
      <c r="G47" s="264">
        <f>+SUM(G43:G46)</f>
        <v>3221.0599999999995</v>
      </c>
      <c r="H47" s="306"/>
      <c r="I47" s="265">
        <f>+SUM(I43:I46)</f>
        <v>514.277</v>
      </c>
      <c r="J47" s="264">
        <f>+SUM(J43:J46)</f>
        <v>598.235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3719.328</v>
      </c>
      <c r="P47" s="396">
        <f>+SUM(P43:P46)</f>
        <v>3819.2949999999996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35310.094</v>
      </c>
      <c r="G49" s="286">
        <f>+G24+G29+G36+G41+G47</f>
        <v>40384.958</v>
      </c>
      <c r="H49" s="306"/>
      <c r="I49" s="287">
        <f>+I24+I29+I36+I41+I47</f>
        <v>514.173</v>
      </c>
      <c r="J49" s="286">
        <f>+J24+J29+J36+J41+J47</f>
        <v>597.725</v>
      </c>
      <c r="K49" s="306"/>
      <c r="L49" s="287">
        <f>+L24+L29+L36+L41+L47</f>
        <v>0</v>
      </c>
      <c r="M49" s="286">
        <f>+M24+M29+M36+M41+M47</f>
        <v>0.002</v>
      </c>
      <c r="N49" s="512"/>
      <c r="O49" s="412">
        <f>+O24+O29+O36+O41+O47</f>
        <v>35824.267</v>
      </c>
      <c r="P49" s="413">
        <f>+P24+P29+P36+P41+P47</f>
        <v>40982.685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111125.126</v>
      </c>
      <c r="G52" s="257">
        <f>+'Cash-Flow-2017-Leva'!G52/1000</f>
        <v>126524.928</v>
      </c>
      <c r="H52" s="306"/>
      <c r="I52" s="267">
        <f>+'Cash-Flow-2017-Leva'!I52/1000</f>
        <v>1588.186</v>
      </c>
      <c r="J52" s="257">
        <f>+'Cash-Flow-2017-Leva'!J52/1000</f>
        <v>1612.759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112713.312</v>
      </c>
      <c r="P52" s="392">
        <f t="shared" si="5"/>
        <v>128137.687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1247.643</v>
      </c>
      <c r="G53" s="296">
        <f>+'Cash-Flow-2017-Leva'!G53/1000</f>
        <v>2368.321</v>
      </c>
      <c r="H53" s="306"/>
      <c r="I53" s="297">
        <f>+'Cash-Flow-2017-Leva'!I53/1000</f>
        <v>0.268</v>
      </c>
      <c r="J53" s="296">
        <f>+'Cash-Flow-2017-Leva'!J53/1000</f>
        <v>0.322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1247.911</v>
      </c>
      <c r="P53" s="417">
        <f t="shared" si="5"/>
        <v>2368.643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790.215</v>
      </c>
      <c r="G54" s="296">
        <f>+'Cash-Flow-2017-Leva'!G54/1000</f>
        <v>1759.417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790.215</v>
      </c>
      <c r="P54" s="417">
        <f t="shared" si="5"/>
        <v>1759.417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154595.657</v>
      </c>
      <c r="G55" s="296">
        <f>+'Cash-Flow-2017-Leva'!G55/1000</f>
        <v>162158.284</v>
      </c>
      <c r="H55" s="306"/>
      <c r="I55" s="297">
        <f>+'Cash-Flow-2017-Leva'!I55/1000</f>
        <v>581.696</v>
      </c>
      <c r="J55" s="296">
        <f>+'Cash-Flow-2017-Leva'!J55/1000</f>
        <v>479.133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155177.353</v>
      </c>
      <c r="P55" s="417">
        <f t="shared" si="5"/>
        <v>162637.41700000002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30342.872</v>
      </c>
      <c r="G56" s="296">
        <f>+'Cash-Flow-2017-Leva'!G56/1000</f>
        <v>30907.579</v>
      </c>
      <c r="H56" s="306"/>
      <c r="I56" s="297">
        <f>+'Cash-Flow-2017-Leva'!I56/1000</f>
        <v>50.737</v>
      </c>
      <c r="J56" s="296">
        <f>+'Cash-Flow-2017-Leva'!J56/1000</f>
        <v>36.236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30393.609</v>
      </c>
      <c r="P56" s="417">
        <f t="shared" si="5"/>
        <v>30943.815000000002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298101.513</v>
      </c>
      <c r="G57" s="290">
        <f>+SUM(G52:G56)</f>
        <v>323718.52900000004</v>
      </c>
      <c r="H57" s="306"/>
      <c r="I57" s="291">
        <f>+SUM(I52:I56)</f>
        <v>2220.887</v>
      </c>
      <c r="J57" s="290">
        <f>+SUM(J52:J56)</f>
        <v>2128.45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300322.39999999997</v>
      </c>
      <c r="P57" s="415">
        <f>+SUM(P52:P56)</f>
        <v>325846.979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748.165</v>
      </c>
      <c r="G60" s="296">
        <f>+'Cash-Flow-2017-Leva'!G60/1000</f>
        <v>2382.41</v>
      </c>
      <c r="H60" s="306"/>
      <c r="I60" s="297">
        <f>+'Cash-Flow-2017-Leva'!I60/1000</f>
        <v>5982.544</v>
      </c>
      <c r="J60" s="296">
        <f>+'Cash-Flow-2017-Leva'!J60/1000</f>
        <v>3742.54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6730.709</v>
      </c>
      <c r="P60" s="417">
        <f t="shared" si="6"/>
        <v>6124.95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194.16</v>
      </c>
      <c r="G61" s="296">
        <f>+'Cash-Flow-2017-Leva'!G61/1000</f>
        <v>584.5</v>
      </c>
      <c r="H61" s="306"/>
      <c r="I61" s="297">
        <f>+'Cash-Flow-2017-Leva'!I61/1000</f>
        <v>72.336</v>
      </c>
      <c r="J61" s="296">
        <f>+'Cash-Flow-2017-Leva'!J61/1000</f>
        <v>315.037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266.496</v>
      </c>
      <c r="P61" s="417">
        <f t="shared" si="6"/>
        <v>899.537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942.3249999999999</v>
      </c>
      <c r="G64" s="290">
        <f>+SUM(G59:G62)</f>
        <v>2966.91</v>
      </c>
      <c r="H64" s="306"/>
      <c r="I64" s="291">
        <f>+SUM(I59:I62)</f>
        <v>6054.88</v>
      </c>
      <c r="J64" s="290">
        <f>+SUM(J59:J62)</f>
        <v>4057.5769999999998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6997.205</v>
      </c>
      <c r="P64" s="415">
        <f>+SUM(P59:P62)</f>
        <v>7024.487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38.582</v>
      </c>
      <c r="G66" s="257">
        <f>+'Cash-Flow-2017-Leva'!G66/1000</f>
        <v>140.43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38.582</v>
      </c>
      <c r="P66" s="392">
        <f>+G66+J66+M66</f>
        <v>140.43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0.001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0.001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38.583</v>
      </c>
      <c r="G68" s="290">
        <f>+SUM(G66:G67)</f>
        <v>140.43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38.583</v>
      </c>
      <c r="P68" s="415">
        <f>+SUM(P66:P67)</f>
        <v>140.43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19520.939</v>
      </c>
      <c r="G70" s="257">
        <f>+'Cash-Flow-2017-Leva'!G70/1000</f>
        <v>23309.258</v>
      </c>
      <c r="H70" s="306"/>
      <c r="I70" s="267">
        <f>+'Cash-Flow-2017-Leva'!I70/1000</f>
        <v>296.506</v>
      </c>
      <c r="J70" s="257">
        <f>+'Cash-Flow-2017-Leva'!J70/1000</f>
        <v>13.225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19817.445</v>
      </c>
      <c r="P70" s="392">
        <f>+G70+J70+M70</f>
        <v>23322.483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19520.939</v>
      </c>
      <c r="G72" s="290">
        <f>+SUM(G70:G71)</f>
        <v>23309.258</v>
      </c>
      <c r="H72" s="306"/>
      <c r="I72" s="291">
        <f>+SUM(I70:I71)</f>
        <v>296.506</v>
      </c>
      <c r="J72" s="290">
        <f>+SUM(J70:J71)</f>
        <v>13.225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19817.445</v>
      </c>
      <c r="P72" s="415">
        <f>+SUM(P70:P71)</f>
        <v>23322.483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92989.515</v>
      </c>
      <c r="G74" s="257">
        <f>+'Cash-Flow-2017-Leva'!G74/1000</f>
        <v>87216.808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92989.515</v>
      </c>
      <c r="P74" s="392">
        <f>+G74+J74+M74</f>
        <v>87216.808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11696.033</v>
      </c>
      <c r="G75" s="296">
        <f>+'Cash-Flow-2017-Leva'!G75/1000</f>
        <v>21024.635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11696.033</v>
      </c>
      <c r="P75" s="417">
        <f>+G75+J75+M75</f>
        <v>21024.635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104685.548</v>
      </c>
      <c r="G76" s="290">
        <f>+SUM(G74:G75)</f>
        <v>108241.443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104685.548</v>
      </c>
      <c r="P76" s="415">
        <f>+SUM(P74:P75)</f>
        <v>108241.443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423288.908</v>
      </c>
      <c r="G78" s="301">
        <f>+G57+G64+G68+G72+G76</f>
        <v>458376.56999999995</v>
      </c>
      <c r="H78" s="306"/>
      <c r="I78" s="298">
        <f>+I57+I64+I68+I72+I76</f>
        <v>8572.273</v>
      </c>
      <c r="J78" s="301">
        <f>+J57+J64+J68+J72+J76</f>
        <v>6199.252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431861.181</v>
      </c>
      <c r="P78" s="425">
        <f>+P57+P64+P68+P72+P76</f>
        <v>464575.82200000004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390536.787</v>
      </c>
      <c r="G80" s="284">
        <f>+'Cash-Flow-2017-Leva'!G80/1000</f>
        <v>390219.996</v>
      </c>
      <c r="H80" s="306"/>
      <c r="I80" s="285">
        <f>+'Cash-Flow-2017-Leva'!I80/1000</f>
        <v>10444.579</v>
      </c>
      <c r="J80" s="284">
        <f>+'Cash-Flow-2017-Leva'!J80/1000</f>
        <v>46642.879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400981.36600000004</v>
      </c>
      <c r="P80" s="411">
        <f>+G80+J80+M80</f>
        <v>436862.875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-35765.61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-35765.61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390536.787</v>
      </c>
      <c r="G82" s="299">
        <f>+G80+G81</f>
        <v>390219.996</v>
      </c>
      <c r="H82" s="306"/>
      <c r="I82" s="300">
        <f>+I80+I81</f>
        <v>10444.579</v>
      </c>
      <c r="J82" s="299">
        <f>+J80+J81</f>
        <v>10877.269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400981.36600000004</v>
      </c>
      <c r="P82" s="420">
        <f>+P80+P81</f>
        <v>401097.265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2557.972999999998</v>
      </c>
      <c r="G84" s="320">
        <f>+G49-G78+G82</f>
        <v>-27771.61599999998</v>
      </c>
      <c r="H84" s="306"/>
      <c r="I84" s="321">
        <f>+I49-I78+I82</f>
        <v>2386.4790000000003</v>
      </c>
      <c r="J84" s="320">
        <f>+J49-J78+J82</f>
        <v>5275.742</v>
      </c>
      <c r="K84" s="306"/>
      <c r="L84" s="321">
        <f>+L49-L78+L82</f>
        <v>0</v>
      </c>
      <c r="M84" s="320">
        <f>+M49-M78+M82</f>
        <v>0.002</v>
      </c>
      <c r="N84" s="512"/>
      <c r="O84" s="421">
        <f>+O49-O78+O82</f>
        <v>4944.452000000048</v>
      </c>
      <c r="P84" s="422">
        <f>+P49-P78+P82</f>
        <v>-22495.872000000032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-2557.9730000000004</v>
      </c>
      <c r="G85" s="322">
        <f>+G102+G121+G127-G132</f>
        <v>27771.616000000005</v>
      </c>
      <c r="H85" s="306"/>
      <c r="I85" s="323">
        <f>+I102+I121+I127-I132</f>
        <v>-2386.479</v>
      </c>
      <c r="J85" s="322">
        <f>+J102+J121+J127-J132</f>
        <v>-5275.742</v>
      </c>
      <c r="K85" s="306"/>
      <c r="L85" s="323">
        <f>+L102+L121+L127-L132</f>
        <v>0</v>
      </c>
      <c r="M85" s="322">
        <f>+M102+M121+M127-M132</f>
        <v>-0.0019999999998390194</v>
      </c>
      <c r="N85" s="512"/>
      <c r="O85" s="423">
        <f>+O102+O121+O127-O132</f>
        <v>-4944.451999999999</v>
      </c>
      <c r="P85" s="424">
        <f>+P102+P121+P127-P132</f>
        <v>22495.872000000003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8.599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8.599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8.599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8.599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648.148</v>
      </c>
      <c r="G93" s="296">
        <f>+'Cash-Flow-2017-Leva'!G93/1000</f>
        <v>261.111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648.148</v>
      </c>
      <c r="P93" s="417">
        <f t="shared" si="7"/>
        <v>261.111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648.148</v>
      </c>
      <c r="G96" s="264">
        <f>+SUM(G92:G95)</f>
        <v>261.111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648.148</v>
      </c>
      <c r="P96" s="396">
        <f>+SUM(P92:P95)</f>
        <v>261.111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2.687</v>
      </c>
      <c r="G99" s="296">
        <f>+'Cash-Flow-2017-Leva'!G99/1000</f>
        <v>7.287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2.687</v>
      </c>
      <c r="P99" s="417">
        <f>+G99+J99+M99</f>
        <v>7.287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2.687</v>
      </c>
      <c r="G100" s="264">
        <f>+SUM(G98:G99)</f>
        <v>7.287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2.687</v>
      </c>
      <c r="P100" s="396">
        <f>+SUM(P98:P99)</f>
        <v>7.287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650.835</v>
      </c>
      <c r="G102" s="286">
        <f>+G90+G96+G100</f>
        <v>276.99699999999996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650.835</v>
      </c>
      <c r="P102" s="413">
        <f>+P90+P96+P100</f>
        <v>276.99699999999996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-5389.84</v>
      </c>
      <c r="G110" s="296">
        <f>+'Cash-Flow-2017-Leva'!G110/1000</f>
        <v>-12656.027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-5389.84</v>
      </c>
      <c r="P110" s="417">
        <f>+G110+J110+M110</f>
        <v>-12656.027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-5389.84</v>
      </c>
      <c r="G111" s="290">
        <f>+SUM(G109:G110)</f>
        <v>-12656.027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-5389.84</v>
      </c>
      <c r="P111" s="415">
        <f>+SUM(P109:P110)</f>
        <v>-12656.027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-41.662</v>
      </c>
      <c r="G117" s="257">
        <f>+'Cash-Flow-2017-Leva'!G117/1000</f>
        <v>-82.103</v>
      </c>
      <c r="H117" s="306"/>
      <c r="I117" s="267">
        <f>+'Cash-Flow-2017-Leva'!I117/1000</f>
        <v>0</v>
      </c>
      <c r="J117" s="257">
        <f>+'Cash-Flow-2017-Leva'!J117/1000</f>
        <v>-26.876</v>
      </c>
      <c r="K117" s="306"/>
      <c r="L117" s="267">
        <f>+'Cash-Flow-2017-Leva'!L117/1000</f>
        <v>-355.568</v>
      </c>
      <c r="M117" s="257">
        <f>+'Cash-Flow-2017-Leva'!M117/1000</f>
        <v>-389.631</v>
      </c>
      <c r="N117" s="512"/>
      <c r="O117" s="399">
        <f>+F117+I117+L117</f>
        <v>-397.22999999999996</v>
      </c>
      <c r="P117" s="392">
        <f>+G117+J117+M117</f>
        <v>-498.60999999999996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5.291</v>
      </c>
      <c r="G118" s="296">
        <f>+'Cash-Flow-2017-Leva'!G118/1000</f>
        <v>-1.473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5.291</v>
      </c>
      <c r="P118" s="417">
        <f>+G118+J118+M118</f>
        <v>-1.473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-36.370999999999995</v>
      </c>
      <c r="G119" s="290">
        <f>+SUM(G117:G118)</f>
        <v>-83.576</v>
      </c>
      <c r="H119" s="306"/>
      <c r="I119" s="291">
        <f>+SUM(I117:I118)</f>
        <v>0</v>
      </c>
      <c r="J119" s="290">
        <f>+SUM(J117:J118)</f>
        <v>-26.876</v>
      </c>
      <c r="K119" s="306"/>
      <c r="L119" s="291">
        <f>+SUM(L117:L118)</f>
        <v>-355.568</v>
      </c>
      <c r="M119" s="290">
        <f>+SUM(M117:M118)</f>
        <v>-389.631</v>
      </c>
      <c r="N119" s="512"/>
      <c r="O119" s="414">
        <f>+SUM(O117:O118)</f>
        <v>-391.93899999999996</v>
      </c>
      <c r="P119" s="415">
        <f>+SUM(P117:P118)</f>
        <v>-500.08299999999997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-5426.211</v>
      </c>
      <c r="G121" s="301">
        <f>+G107+G111+G115+G119</f>
        <v>-12739.603</v>
      </c>
      <c r="H121" s="306"/>
      <c r="I121" s="298">
        <f>+I107+I111+I115+I119</f>
        <v>0</v>
      </c>
      <c r="J121" s="301">
        <f>+J107+J111+J115+J119</f>
        <v>-26.876</v>
      </c>
      <c r="K121" s="306"/>
      <c r="L121" s="298">
        <f>+L107+L111+L115+L119</f>
        <v>-355.568</v>
      </c>
      <c r="M121" s="301">
        <f>+M107+M111+M115+M119</f>
        <v>-389.631</v>
      </c>
      <c r="N121" s="512"/>
      <c r="O121" s="418">
        <f>+O107+O111+O115+O119</f>
        <v>-5781.779</v>
      </c>
      <c r="P121" s="425">
        <f>+P107+P111+P115+P119</f>
        <v>-13156.11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2671.567</v>
      </c>
      <c r="G124" s="296">
        <f>+'Cash-Flow-2017-Leva'!G124/1000</f>
        <v>39175.302</v>
      </c>
      <c r="H124" s="306"/>
      <c r="I124" s="297">
        <f>+'Cash-Flow-2017-Leva'!I124/1000</f>
        <v>-2414.595</v>
      </c>
      <c r="J124" s="296">
        <f>+'Cash-Flow-2017-Leva'!J124/1000</f>
        <v>-5268.655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256.9720000000002</v>
      </c>
      <c r="P124" s="417">
        <f t="shared" si="8"/>
        <v>33906.647000000004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-412.215</v>
      </c>
      <c r="G125" s="296">
        <f>+'Cash-Flow-2017-Leva'!G125/1000</f>
        <v>-13.289</v>
      </c>
      <c r="H125" s="306"/>
      <c r="I125" s="297">
        <f>+'Cash-Flow-2017-Leva'!I125/1000</f>
        <v>49.233</v>
      </c>
      <c r="J125" s="296">
        <f>+'Cash-Flow-2017-Leva'!J125/1000</f>
        <v>13.289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-362.98199999999997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2259.352</v>
      </c>
      <c r="G127" s="299">
        <f>+SUM(G123:G126)</f>
        <v>39162.013000000006</v>
      </c>
      <c r="H127" s="306"/>
      <c r="I127" s="300">
        <f>+SUM(I123:I126)</f>
        <v>-2365.3619999999996</v>
      </c>
      <c r="J127" s="299">
        <f>+SUM(J123:J126)</f>
        <v>-5255.366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-106.00999999999976</v>
      </c>
      <c r="P127" s="420">
        <f>+SUM(P123:P126)</f>
        <v>33906.647000000004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3214.939</v>
      </c>
      <c r="G129" s="284">
        <f>+'Cash-Flow-2017-Leva'!G129/1000</f>
        <v>4277.562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1582.619</v>
      </c>
      <c r="M129" s="284">
        <f>+'Cash-Flow-2017-Leva'!M129/1000</f>
        <v>1972.248</v>
      </c>
      <c r="N129" s="512"/>
      <c r="O129" s="398">
        <f aca="true" t="shared" si="9" ref="O129:P131">+F129+I129+L129</f>
        <v>4797.558</v>
      </c>
      <c r="P129" s="411">
        <f t="shared" si="9"/>
        <v>6249.8099999999995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-30.593</v>
      </c>
      <c r="G130" s="296">
        <f>+'Cash-Flow-2017-Leva'!G130/1000</f>
        <v>9.584</v>
      </c>
      <c r="H130" s="306"/>
      <c r="I130" s="297">
        <f>+'Cash-Flow-2017-Leva'!I130/1000</f>
        <v>-21.117</v>
      </c>
      <c r="J130" s="296">
        <f>+'Cash-Flow-2017-Leva'!J130/1000</f>
        <v>6.5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-51.71</v>
      </c>
      <c r="P130" s="417">
        <f t="shared" si="9"/>
        <v>16.084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3226.295</v>
      </c>
      <c r="G131" s="296">
        <f>+'Cash-Flow-2017-Leva'!G131/1000</f>
        <v>3214.937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1227.051</v>
      </c>
      <c r="M131" s="296">
        <f>+'Cash-Flow-2017-Leva'!M131/1000</f>
        <v>1582.619</v>
      </c>
      <c r="N131" s="512"/>
      <c r="O131" s="394">
        <f t="shared" si="9"/>
        <v>4453.346</v>
      </c>
      <c r="P131" s="417">
        <f t="shared" si="9"/>
        <v>4797.556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41.949000000000225</v>
      </c>
      <c r="G132" s="304">
        <f>+G131-G129-G130</f>
        <v>-1072.209</v>
      </c>
      <c r="H132" s="306"/>
      <c r="I132" s="305">
        <f>+I131-I129-I130</f>
        <v>21.117</v>
      </c>
      <c r="J132" s="304">
        <f>+J131-J129-J130</f>
        <v>-6.5</v>
      </c>
      <c r="K132" s="306"/>
      <c r="L132" s="305">
        <f>+L131-L129-L130</f>
        <v>-355.568</v>
      </c>
      <c r="M132" s="304">
        <f>+M131-M129-M130</f>
        <v>-389.62900000000013</v>
      </c>
      <c r="N132" s="512"/>
      <c r="O132" s="428">
        <f>+O131-O129-O130</f>
        <v>-292.50200000000046</v>
      </c>
      <c r="P132" s="429">
        <f>+P131-P129-P130</f>
        <v>-1468.338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0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2017-03-31T15:04:28Z</cp:lastPrinted>
  <dcterms:created xsi:type="dcterms:W3CDTF">2015-12-01T07:17:04Z</dcterms:created>
  <dcterms:modified xsi:type="dcterms:W3CDTF">2017-12-20T07:54:04Z</dcterms:modified>
  <cp:category/>
  <cp:version/>
  <cp:contentType/>
  <cp:contentStatus/>
</cp:coreProperties>
</file>